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sctecpt.sharepoint.com/sites/STRATUM-00-CandidaturaTAContratoConsrcio/Shared Documents/Termo Aceitação e Contrato Consórcio/"/>
    </mc:Choice>
  </mc:AlternateContent>
  <xr:revisionPtr revIDLastSave="64" documentId="13_ncr:1_{D89D31FA-C370-4C6B-8BC6-B1C92BF6F677}" xr6:coauthVersionLast="47" xr6:coauthVersionMax="47" xr10:uidLastSave="{0F8069C2-D7C8-4CAA-8302-CA0A9813B676}"/>
  <bookViews>
    <workbookView xWindow="-38510" yWindow="-110" windowWidth="38620" windowHeight="23500" firstSheet="1" activeTab="3" xr2:uid="{1A14E680-2EB9-42A1-AF85-A2D7047EA12F}"/>
  </bookViews>
  <sheets>
    <sheet name="Categorias" sheetId="7" state="hidden" r:id="rId1"/>
    <sheet name="Tecnicos" sheetId="1" r:id="rId2"/>
    <sheet name="Pessoal" sheetId="5" r:id="rId3"/>
    <sheet name="Custos" sheetId="6" r:id="rId4"/>
  </sheets>
  <externalReferences>
    <externalReference r:id="rId5"/>
  </externalReferences>
  <definedNames>
    <definedName name="_xlnm._FilterDatabase" localSheetId="2" hidden="1">Pessoal!$A$1:$R$90</definedName>
    <definedName name="D_Indice100">1636.83</definedName>
    <definedName name="Estado">[1]Listas_limites!#REF!</definedName>
    <definedName name="Mês">[1]Listas_limites!#REF!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6" l="1"/>
  <c r="N39" i="6"/>
  <c r="M37" i="6"/>
  <c r="O37" i="6"/>
  <c r="N37" i="6"/>
  <c r="O32" i="6"/>
  <c r="O35" i="6" s="1"/>
  <c r="N32" i="6"/>
  <c r="K35" i="6"/>
  <c r="N35" i="6"/>
  <c r="O18" i="6"/>
  <c r="O19" i="6"/>
  <c r="O20" i="6"/>
  <c r="O21" i="6"/>
  <c r="O22" i="6"/>
  <c r="O23" i="6"/>
  <c r="O24" i="6"/>
  <c r="O25" i="6"/>
  <c r="O26" i="6"/>
  <c r="O27" i="6"/>
  <c r="O28" i="6"/>
  <c r="O17" i="6"/>
  <c r="N7" i="6"/>
  <c r="N8" i="6"/>
  <c r="N9" i="6"/>
  <c r="N10" i="6"/>
  <c r="N11" i="6"/>
  <c r="N12" i="6"/>
  <c r="N13" i="6"/>
  <c r="N14" i="6"/>
  <c r="N15" i="6"/>
  <c r="N16" i="6"/>
  <c r="N6" i="6"/>
  <c r="O5" i="6"/>
  <c r="N5" i="6"/>
  <c r="O94" i="5"/>
  <c r="O96" i="5"/>
  <c r="M96" i="5"/>
  <c r="E17" i="6"/>
  <c r="E18" i="6"/>
  <c r="E19" i="6"/>
  <c r="E20" i="6"/>
  <c r="E21" i="6"/>
  <c r="E22" i="6"/>
  <c r="E23" i="6"/>
  <c r="E24" i="6"/>
  <c r="E25" i="6"/>
  <c r="E26" i="6"/>
  <c r="E27" i="6"/>
  <c r="E28" i="6"/>
  <c r="O88" i="5"/>
  <c r="N88" i="5"/>
  <c r="M88" i="5"/>
  <c r="L88" i="5"/>
  <c r="K88" i="5" s="1"/>
  <c r="O87" i="5"/>
  <c r="N87" i="5"/>
  <c r="M87" i="5"/>
  <c r="L87" i="5"/>
  <c r="K87" i="5" s="1"/>
  <c r="O86" i="5"/>
  <c r="N86" i="5"/>
  <c r="M86" i="5"/>
  <c r="L86" i="5"/>
  <c r="K86" i="5" s="1"/>
  <c r="O85" i="5"/>
  <c r="N85" i="5"/>
  <c r="M85" i="5"/>
  <c r="L85" i="5"/>
  <c r="K85" i="5"/>
  <c r="O84" i="5"/>
  <c r="N84" i="5"/>
  <c r="M84" i="5"/>
  <c r="L84" i="5"/>
  <c r="K84" i="5" s="1"/>
  <c r="O83" i="5"/>
  <c r="N83" i="5"/>
  <c r="M83" i="5"/>
  <c r="L83" i="5"/>
  <c r="K83" i="5" s="1"/>
  <c r="O82" i="5"/>
  <c r="N82" i="5"/>
  <c r="M82" i="5"/>
  <c r="L82" i="5"/>
  <c r="K82" i="5"/>
  <c r="O81" i="5"/>
  <c r="N81" i="5"/>
  <c r="M81" i="5"/>
  <c r="L81" i="5"/>
  <c r="K81" i="5" s="1"/>
  <c r="O80" i="5"/>
  <c r="N80" i="5"/>
  <c r="M80" i="5"/>
  <c r="L80" i="5"/>
  <c r="K80" i="5" s="1"/>
  <c r="O79" i="5"/>
  <c r="N79" i="5"/>
  <c r="M79" i="5"/>
  <c r="L79" i="5"/>
  <c r="K79" i="5" s="1"/>
  <c r="O78" i="5"/>
  <c r="N78" i="5"/>
  <c r="M78" i="5"/>
  <c r="L78" i="5"/>
  <c r="K78" i="5" s="1"/>
  <c r="O77" i="5"/>
  <c r="N77" i="5"/>
  <c r="M77" i="5"/>
  <c r="L77" i="5"/>
  <c r="K77" i="5" s="1"/>
  <c r="O76" i="5"/>
  <c r="N76" i="5"/>
  <c r="M76" i="5"/>
  <c r="L76" i="5"/>
  <c r="K76" i="5" s="1"/>
  <c r="O75" i="5"/>
  <c r="N75" i="5"/>
  <c r="M75" i="5"/>
  <c r="L75" i="5"/>
  <c r="K75" i="5" s="1"/>
  <c r="O74" i="5"/>
  <c r="N74" i="5"/>
  <c r="M74" i="5"/>
  <c r="L74" i="5"/>
  <c r="K74" i="5"/>
  <c r="O73" i="5"/>
  <c r="N73" i="5"/>
  <c r="M73" i="5"/>
  <c r="L73" i="5"/>
  <c r="K73" i="5" s="1"/>
  <c r="O72" i="5"/>
  <c r="N72" i="5"/>
  <c r="M72" i="5"/>
  <c r="L72" i="5"/>
  <c r="K72" i="5" s="1"/>
  <c r="O71" i="5"/>
  <c r="N71" i="5"/>
  <c r="M71" i="5"/>
  <c r="L71" i="5"/>
  <c r="K71" i="5"/>
  <c r="O70" i="5"/>
  <c r="N70" i="5"/>
  <c r="M70" i="5"/>
  <c r="L70" i="5"/>
  <c r="K70" i="5"/>
  <c r="O69" i="5"/>
  <c r="N69" i="5"/>
  <c r="M69" i="5"/>
  <c r="L69" i="5"/>
  <c r="K69" i="5" s="1"/>
  <c r="O68" i="5"/>
  <c r="N68" i="5"/>
  <c r="M68" i="5"/>
  <c r="L68" i="5"/>
  <c r="K68" i="5" s="1"/>
  <c r="O67" i="5"/>
  <c r="N67" i="5"/>
  <c r="M67" i="5"/>
  <c r="L67" i="5"/>
  <c r="K67" i="5" s="1"/>
  <c r="O66" i="5"/>
  <c r="N66" i="5"/>
  <c r="M66" i="5"/>
  <c r="L66" i="5"/>
  <c r="K66" i="5" s="1"/>
  <c r="O65" i="5"/>
  <c r="N65" i="5"/>
  <c r="M65" i="5"/>
  <c r="L65" i="5"/>
  <c r="K65" i="5" s="1"/>
  <c r="O64" i="5"/>
  <c r="N64" i="5"/>
  <c r="M64" i="5"/>
  <c r="L64" i="5"/>
  <c r="K64" i="5"/>
  <c r="O63" i="5"/>
  <c r="N63" i="5"/>
  <c r="M63" i="5"/>
  <c r="L63" i="5"/>
  <c r="K63" i="5" s="1"/>
  <c r="O62" i="5"/>
  <c r="N62" i="5"/>
  <c r="M62" i="5"/>
  <c r="L62" i="5"/>
  <c r="K62" i="5"/>
  <c r="O61" i="5"/>
  <c r="N61" i="5"/>
  <c r="M61" i="5"/>
  <c r="L61" i="5"/>
  <c r="K61" i="5" s="1"/>
  <c r="O60" i="5"/>
  <c r="N60" i="5"/>
  <c r="M60" i="5"/>
  <c r="L60" i="5"/>
  <c r="K60" i="5" s="1"/>
  <c r="O59" i="5"/>
  <c r="N59" i="5"/>
  <c r="M59" i="5"/>
  <c r="L59" i="5"/>
  <c r="K59" i="5" s="1"/>
  <c r="O58" i="5"/>
  <c r="N58" i="5"/>
  <c r="M58" i="5"/>
  <c r="L58" i="5"/>
  <c r="K58" i="5" s="1"/>
  <c r="I13" i="1"/>
  <c r="J13" i="1"/>
  <c r="K13" i="1"/>
  <c r="M13" i="1"/>
  <c r="I14" i="1"/>
  <c r="J14" i="1"/>
  <c r="K14" i="1"/>
  <c r="M14" i="1" s="1"/>
  <c r="I15" i="1"/>
  <c r="J15" i="1"/>
  <c r="K15" i="1"/>
  <c r="M15" i="1"/>
  <c r="I16" i="1"/>
  <c r="J16" i="1"/>
  <c r="K16" i="1"/>
  <c r="M16" i="1"/>
  <c r="I17" i="1"/>
  <c r="J17" i="1"/>
  <c r="K17" i="1"/>
  <c r="M17" i="1"/>
  <c r="I18" i="1"/>
  <c r="J18" i="1"/>
  <c r="K18" i="1"/>
  <c r="M18" i="1"/>
  <c r="I19" i="1"/>
  <c r="J19" i="1"/>
  <c r="K19" i="1"/>
  <c r="M19" i="1"/>
  <c r="I20" i="1"/>
  <c r="J20" i="1"/>
  <c r="K20" i="1"/>
  <c r="M20" i="1"/>
  <c r="I21" i="1"/>
  <c r="J21" i="1"/>
  <c r="K21" i="1"/>
  <c r="M21" i="1"/>
  <c r="H6" i="1"/>
  <c r="H10" i="1"/>
  <c r="H4" i="1"/>
  <c r="H11" i="1"/>
  <c r="H9" i="1"/>
  <c r="H8" i="1"/>
  <c r="H7" i="1"/>
  <c r="H5" i="1"/>
  <c r="H3" i="1"/>
  <c r="H2" i="1"/>
  <c r="H93" i="5"/>
  <c r="J3" i="1"/>
  <c r="J4" i="1"/>
  <c r="J5" i="1"/>
  <c r="J6" i="1"/>
  <c r="J7" i="1"/>
  <c r="J8" i="1"/>
  <c r="J9" i="1"/>
  <c r="J10" i="1"/>
  <c r="J11" i="1"/>
  <c r="J12" i="1"/>
  <c r="J22" i="1"/>
  <c r="J23" i="1"/>
  <c r="J24" i="1"/>
  <c r="J25" i="1"/>
  <c r="J26" i="1"/>
  <c r="I3" i="1"/>
  <c r="I4" i="1"/>
  <c r="I5" i="1"/>
  <c r="I6" i="1"/>
  <c r="I7" i="1"/>
  <c r="I8" i="1"/>
  <c r="I9" i="1"/>
  <c r="I10" i="1"/>
  <c r="I11" i="1"/>
  <c r="I12" i="1"/>
  <c r="I22" i="1"/>
  <c r="I23" i="1"/>
  <c r="I24" i="1"/>
  <c r="I25" i="1"/>
  <c r="I26" i="1"/>
  <c r="J2" i="1"/>
  <c r="I2" i="1"/>
  <c r="M35" i="6" l="1"/>
  <c r="K3" i="1"/>
  <c r="M3" i="1" s="1"/>
  <c r="K4" i="1"/>
  <c r="M4" i="1" s="1"/>
  <c r="K5" i="1"/>
  <c r="M5" i="1" s="1"/>
  <c r="K6" i="1"/>
  <c r="M6" i="1" s="1"/>
  <c r="K7" i="1"/>
  <c r="M7" i="1" s="1"/>
  <c r="K8" i="1"/>
  <c r="M8" i="1" s="1"/>
  <c r="K9" i="1"/>
  <c r="M9" i="1" s="1"/>
  <c r="K10" i="1"/>
  <c r="M10" i="1" s="1"/>
  <c r="K11" i="1"/>
  <c r="M11" i="1" s="1"/>
  <c r="K12" i="1"/>
  <c r="M12" i="1" s="1"/>
  <c r="K22" i="1"/>
  <c r="M22" i="1" s="1"/>
  <c r="K23" i="1"/>
  <c r="M23" i="1" s="1"/>
  <c r="K24" i="1"/>
  <c r="M24" i="1" s="1"/>
  <c r="K25" i="1"/>
  <c r="M25" i="1" s="1"/>
  <c r="K26" i="1"/>
  <c r="M26" i="1" s="1"/>
  <c r="K2" i="1"/>
  <c r="M2" i="1" s="1"/>
  <c r="O45" i="5" l="1"/>
  <c r="M56" i="5"/>
  <c r="L23" i="5"/>
  <c r="K23" i="5" s="1"/>
  <c r="M23" i="5"/>
  <c r="N45" i="5"/>
  <c r="N23" i="5"/>
  <c r="L56" i="5"/>
  <c r="K56" i="5" s="1"/>
  <c r="N56" i="5"/>
  <c r="M45" i="5"/>
  <c r="O23" i="5"/>
  <c r="O56" i="5"/>
  <c r="L34" i="5"/>
  <c r="K34" i="5" s="1"/>
  <c r="M34" i="5"/>
  <c r="N34" i="5"/>
  <c r="O34" i="5"/>
  <c r="L45" i="5"/>
  <c r="K45" i="5" s="1"/>
  <c r="O49" i="5"/>
  <c r="L38" i="5"/>
  <c r="K38" i="5" s="1"/>
  <c r="M49" i="5"/>
  <c r="L27" i="5"/>
  <c r="K27" i="5" s="1"/>
  <c r="M27" i="5"/>
  <c r="M38" i="5"/>
  <c r="N27" i="5"/>
  <c r="O27" i="5"/>
  <c r="M16" i="5"/>
  <c r="N38" i="5"/>
  <c r="O38" i="5"/>
  <c r="L16" i="5"/>
  <c r="K16" i="5" s="1"/>
  <c r="N16" i="5"/>
  <c r="O16" i="5"/>
  <c r="L49" i="5"/>
  <c r="K49" i="5" s="1"/>
  <c r="N49" i="5"/>
  <c r="O22" i="5"/>
  <c r="M33" i="5"/>
  <c r="N33" i="5"/>
  <c r="M44" i="5"/>
  <c r="L55" i="5"/>
  <c r="K55" i="5" s="1"/>
  <c r="L33" i="5"/>
  <c r="K33" i="5" s="1"/>
  <c r="M55" i="5"/>
  <c r="L22" i="5"/>
  <c r="K22" i="5" s="1"/>
  <c r="N55" i="5"/>
  <c r="O55" i="5"/>
  <c r="N22" i="5"/>
  <c r="O33" i="5"/>
  <c r="L44" i="5"/>
  <c r="K44" i="5" s="1"/>
  <c r="N44" i="5"/>
  <c r="O44" i="5"/>
  <c r="M22" i="5"/>
  <c r="O31" i="5"/>
  <c r="L31" i="5"/>
  <c r="K31" i="5" s="1"/>
  <c r="M31" i="5"/>
  <c r="L42" i="5"/>
  <c r="K42" i="5" s="1"/>
  <c r="M53" i="5"/>
  <c r="M42" i="5"/>
  <c r="M20" i="5"/>
  <c r="N20" i="5"/>
  <c r="N42" i="5"/>
  <c r="N31" i="5"/>
  <c r="O42" i="5"/>
  <c r="L20" i="5"/>
  <c r="K20" i="5" s="1"/>
  <c r="O20" i="5"/>
  <c r="L53" i="5"/>
  <c r="K53" i="5" s="1"/>
  <c r="L57" i="5"/>
  <c r="K57" i="5" s="1"/>
  <c r="M57" i="5"/>
  <c r="N53" i="5"/>
  <c r="N57" i="5"/>
  <c r="O53" i="5"/>
  <c r="O57" i="5"/>
  <c r="O13" i="5"/>
  <c r="O35" i="5"/>
  <c r="N13" i="5"/>
  <c r="L46" i="5"/>
  <c r="K46" i="5" s="1"/>
  <c r="M24" i="5"/>
  <c r="L35" i="5"/>
  <c r="K35" i="5" s="1"/>
  <c r="M46" i="5"/>
  <c r="L24" i="5"/>
  <c r="K24" i="5" s="1"/>
  <c r="N35" i="5"/>
  <c r="N46" i="5"/>
  <c r="O46" i="5"/>
  <c r="N24" i="5"/>
  <c r="M35" i="5"/>
  <c r="O24" i="5"/>
  <c r="M13" i="5"/>
  <c r="L13" i="5"/>
  <c r="K13" i="5" s="1"/>
  <c r="O26" i="5"/>
  <c r="N15" i="5"/>
  <c r="L37" i="5"/>
  <c r="K37" i="5" s="1"/>
  <c r="L15" i="5"/>
  <c r="K15" i="5" s="1"/>
  <c r="M26" i="5"/>
  <c r="N26" i="5"/>
  <c r="M37" i="5"/>
  <c r="M48" i="5"/>
  <c r="N37" i="5"/>
  <c r="O37" i="5"/>
  <c r="M15" i="5"/>
  <c r="O15" i="5"/>
  <c r="L48" i="5"/>
  <c r="K48" i="5" s="1"/>
  <c r="N48" i="5"/>
  <c r="O48" i="5"/>
  <c r="L26" i="5"/>
  <c r="K26" i="5" s="1"/>
  <c r="O54" i="5"/>
  <c r="L32" i="5"/>
  <c r="K32" i="5" s="1"/>
  <c r="N43" i="5"/>
  <c r="M32" i="5"/>
  <c r="L43" i="5"/>
  <c r="K43" i="5" s="1"/>
  <c r="M21" i="5"/>
  <c r="N32" i="5"/>
  <c r="O32" i="5"/>
  <c r="M43" i="5"/>
  <c r="M54" i="5"/>
  <c r="N54" i="5"/>
  <c r="O43" i="5"/>
  <c r="L21" i="5"/>
  <c r="K21" i="5" s="1"/>
  <c r="N21" i="5"/>
  <c r="O21" i="5"/>
  <c r="L54" i="5"/>
  <c r="K54" i="5" s="1"/>
  <c r="O41" i="5"/>
  <c r="L19" i="5"/>
  <c r="K19" i="5" s="1"/>
  <c r="L52" i="5"/>
  <c r="K52" i="5" s="1"/>
  <c r="M52" i="5"/>
  <c r="M30" i="5"/>
  <c r="N41" i="5"/>
  <c r="M19" i="5"/>
  <c r="M41" i="5"/>
  <c r="N19" i="5"/>
  <c r="O19" i="5"/>
  <c r="N52" i="5"/>
  <c r="O52" i="5"/>
  <c r="L30" i="5"/>
  <c r="K30" i="5" s="1"/>
  <c r="N30" i="5"/>
  <c r="O30" i="5"/>
  <c r="L41" i="5"/>
  <c r="K41" i="5" s="1"/>
  <c r="O17" i="5"/>
  <c r="L28" i="5"/>
  <c r="K28" i="5" s="1"/>
  <c r="L50" i="5"/>
  <c r="K50" i="5" s="1"/>
  <c r="N28" i="5"/>
  <c r="M50" i="5"/>
  <c r="M17" i="5"/>
  <c r="N50" i="5"/>
  <c r="M28" i="5"/>
  <c r="M39" i="5"/>
  <c r="O50" i="5"/>
  <c r="O28" i="5"/>
  <c r="L39" i="5"/>
  <c r="K39" i="5" s="1"/>
  <c r="N39" i="5"/>
  <c r="O39" i="5"/>
  <c r="L17" i="5"/>
  <c r="K17" i="5" s="1"/>
  <c r="N17" i="5"/>
  <c r="M25" i="5"/>
  <c r="L14" i="5"/>
  <c r="K14" i="5" s="1"/>
  <c r="L36" i="5"/>
  <c r="K36" i="5" s="1"/>
  <c r="M14" i="5"/>
  <c r="M36" i="5"/>
  <c r="N47" i="5"/>
  <c r="N14" i="5"/>
  <c r="N36" i="5"/>
  <c r="M47" i="5"/>
  <c r="O14" i="5"/>
  <c r="O36" i="5"/>
  <c r="L47" i="5"/>
  <c r="K47" i="5" s="1"/>
  <c r="O47" i="5"/>
  <c r="L25" i="5"/>
  <c r="K25" i="5" s="1"/>
  <c r="N25" i="5"/>
  <c r="O25" i="5"/>
  <c r="L18" i="5"/>
  <c r="K18" i="5" s="1"/>
  <c r="M18" i="5"/>
  <c r="O51" i="5"/>
  <c r="O40" i="5"/>
  <c r="L29" i="5"/>
  <c r="K29" i="5" s="1"/>
  <c r="N29" i="5"/>
  <c r="O29" i="5"/>
  <c r="M51" i="5"/>
  <c r="N40" i="5"/>
  <c r="L51" i="5"/>
  <c r="K51" i="5" s="1"/>
  <c r="N18" i="5"/>
  <c r="O18" i="5"/>
  <c r="M29" i="5"/>
  <c r="N51" i="5"/>
  <c r="L40" i="5"/>
  <c r="K40" i="5" s="1"/>
  <c r="M40" i="5"/>
  <c r="L11" i="5"/>
  <c r="K11" i="5" s="1"/>
  <c r="M11" i="5"/>
  <c r="N11" i="5"/>
  <c r="O11" i="5"/>
  <c r="L8" i="5"/>
  <c r="K8" i="5" s="1"/>
  <c r="M8" i="5"/>
  <c r="N8" i="5"/>
  <c r="O8" i="5"/>
  <c r="L7" i="5"/>
  <c r="K7" i="5" s="1"/>
  <c r="M7" i="5"/>
  <c r="N7" i="5"/>
  <c r="O7" i="5"/>
  <c r="L6" i="5"/>
  <c r="K6" i="5" s="1"/>
  <c r="M6" i="5"/>
  <c r="N6" i="5"/>
  <c r="O6" i="5"/>
  <c r="L10" i="5"/>
  <c r="K10" i="5" s="1"/>
  <c r="M10" i="5"/>
  <c r="N10" i="5"/>
  <c r="O10" i="5"/>
  <c r="L9" i="5"/>
  <c r="K9" i="5" s="1"/>
  <c r="M9" i="5"/>
  <c r="N9" i="5"/>
  <c r="O9" i="5"/>
  <c r="L5" i="5"/>
  <c r="K5" i="5" s="1"/>
  <c r="M5" i="5"/>
  <c r="N5" i="5"/>
  <c r="O5" i="5"/>
  <c r="L3" i="5"/>
  <c r="K3" i="5" s="1"/>
  <c r="M3" i="5"/>
  <c r="N3" i="5"/>
  <c r="O3" i="5"/>
  <c r="M2" i="5"/>
  <c r="N2" i="5"/>
  <c r="O2" i="5"/>
  <c r="L2" i="5"/>
  <c r="L4" i="5"/>
  <c r="K4" i="5" s="1"/>
  <c r="M4" i="5"/>
  <c r="N4" i="5"/>
  <c r="O4" i="5"/>
  <c r="L12" i="5"/>
  <c r="M12" i="5"/>
  <c r="N12" i="5"/>
  <c r="O12" i="5"/>
  <c r="L90" i="5" l="1"/>
  <c r="K2" i="6" s="1"/>
  <c r="K2" i="5"/>
  <c r="K12" i="5"/>
  <c r="O90" i="5"/>
  <c r="K5" i="6" s="1"/>
  <c r="N90" i="5"/>
  <c r="K4" i="6" s="1"/>
  <c r="K32" i="6" s="1"/>
  <c r="M90" i="5"/>
  <c r="K30" i="6" l="1"/>
  <c r="K3" i="6"/>
  <c r="R90" i="5"/>
  <c r="K29" i="6"/>
  <c r="K31" i="6" l="1"/>
  <c r="W25" i="6"/>
  <c r="W24" i="6"/>
  <c r="W22" i="6"/>
  <c r="W23" i="6" l="1"/>
  <c r="W26" i="6" s="1"/>
</calcChain>
</file>

<file path=xl/sharedStrings.xml><?xml version="1.0" encoding="utf-8"?>
<sst xmlns="http://schemas.openxmlformats.org/spreadsheetml/2006/main" count="700" uniqueCount="137">
  <si>
    <t>Aquisição de patentes e direitos de propriedade</t>
  </si>
  <si>
    <t>Matérias-primas e materiais consumíveis</t>
  </si>
  <si>
    <t>Aquisição de componentes</t>
  </si>
  <si>
    <t>Consultoria</t>
  </si>
  <si>
    <t>Estudos/Relatórios DNSH</t>
  </si>
  <si>
    <t>Assistência técnica</t>
  </si>
  <si>
    <t>Aquisição de serviços</t>
  </si>
  <si>
    <t>Equipamento informático</t>
  </si>
  <si>
    <t>Software e licenças</t>
  </si>
  <si>
    <t>Máquinas e equipamentos</t>
  </si>
  <si>
    <t>Aquisição de instrumentos e equipamento científico e técnico</t>
  </si>
  <si>
    <t>Registo de patentes (Taxas Oficiais)</t>
  </si>
  <si>
    <t>Registo de modelo de utilidade e de desenho ou modelo (Taxas Oficiais)</t>
  </si>
  <si>
    <t>Promoção e divulgação</t>
  </si>
  <si>
    <t>Seminários e Conferências</t>
  </si>
  <si>
    <t>Feiras e exposições</t>
  </si>
  <si>
    <t>Deslocações</t>
  </si>
  <si>
    <t>Estadias</t>
  </si>
  <si>
    <t>Processos de certificação</t>
  </si>
  <si>
    <t>Auditorias</t>
  </si>
  <si>
    <t>CC/ROC</t>
  </si>
  <si>
    <t>ID</t>
  </si>
  <si>
    <t>Beneficiário</t>
  </si>
  <si>
    <t>Nova</t>
  </si>
  <si>
    <t>NIF</t>
  </si>
  <si>
    <t>Nível</t>
  </si>
  <si>
    <t>Vínculo</t>
  </si>
  <si>
    <t>Vencimento mês
(Consultar SAAF para Valores)</t>
  </si>
  <si>
    <t>Seguro Social Voluntário</t>
  </si>
  <si>
    <t>Seguro Acidentes Pessoais</t>
  </si>
  <si>
    <t>Taxa Segurança Social</t>
  </si>
  <si>
    <t>Critico</t>
  </si>
  <si>
    <t>Custo ETI</t>
  </si>
  <si>
    <t>Não</t>
  </si>
  <si>
    <t>C1 - Specialist in technical coordination and the development of digital solutions to support operations management and optimization</t>
  </si>
  <si>
    <t>Nível 7 - Mestre</t>
  </si>
  <si>
    <t>Contrato de Trablho a Termo Incerto</t>
  </si>
  <si>
    <t>C2 - Specialist in digital transformation, process modelling, and the development of technology-based innovation solutions</t>
  </si>
  <si>
    <t>C3 - Specialist in software engineering, data integration, and the development of interoperable digital platforms</t>
  </si>
  <si>
    <t>C4 - Specialist in information systems, operational planning, and decision-support in industrial environments</t>
  </si>
  <si>
    <t>D1 - Specialist in industrial processes, operational improvement, and the implementation of production support methodologies</t>
  </si>
  <si>
    <t>Nível 8 - Doutorado</t>
  </si>
  <si>
    <t>Quadro de Cedência Ocasional [Docentes]</t>
  </si>
  <si>
    <t>D2 - Specialist in systems architecture, digital traceability, and the development of solutions for information integration and sharing</t>
  </si>
  <si>
    <t>Sim</t>
  </si>
  <si>
    <t>D3 - Specialist in data analysis, quantitative methods, and decision-support for process optimization</t>
  </si>
  <si>
    <t>C5 - Specialist in software development, systems integration, and digital traceability</t>
  </si>
  <si>
    <t>C6 - Specialist in digital infrastructures and technology development</t>
  </si>
  <si>
    <t>D4 - Specialist in quantitative analysis, performance assessment, and analytical support for results monitoring</t>
  </si>
  <si>
    <t>D5 - Specialist in operations management, organizational processes, and continuous improvement solutions</t>
  </si>
  <si>
    <t>N.º</t>
  </si>
  <si>
    <t>Perfil</t>
  </si>
  <si>
    <t>Conteúdo Funcional</t>
  </si>
  <si>
    <t>Estab.</t>
  </si>
  <si>
    <t>Atividade</t>
  </si>
  <si>
    <t>ETI 0
(Ano 2027)</t>
  </si>
  <si>
    <t>ETI 1
(Ano 2028)</t>
  </si>
  <si>
    <t>ET2
(Ano 2029)</t>
  </si>
  <si>
    <t>ET3
(Ano 2030)</t>
  </si>
  <si>
    <t>Valor
(Custo Total Pessoal)</t>
  </si>
  <si>
    <t>Custo ETI
(Ano 2027)</t>
  </si>
  <si>
    <t>Custo ETI
(Ano 2028)</t>
  </si>
  <si>
    <t>Custo ETI
(Ano 2029)</t>
  </si>
  <si>
    <t>Custo ETI
(Ano 2030)</t>
  </si>
  <si>
    <t>C1</t>
  </si>
  <si>
    <t>A1-Diagnóstico, Mapeamento e Especificação do Sistema</t>
  </si>
  <si>
    <t>C2</t>
  </si>
  <si>
    <t>C3</t>
  </si>
  <si>
    <t>C4</t>
  </si>
  <si>
    <t>D1</t>
  </si>
  <si>
    <t>D2</t>
  </si>
  <si>
    <t>D3</t>
  </si>
  <si>
    <t>C5</t>
  </si>
  <si>
    <t>C6</t>
  </si>
  <si>
    <t>D4</t>
  </si>
  <si>
    <t>D5</t>
  </si>
  <si>
    <t>A2- Desenvolvimento dos Modelos, Métodos e Protótipos</t>
  </si>
  <si>
    <t>A3 - Instalação, Integração e Implementação Piloto</t>
  </si>
  <si>
    <t>A4 - Testes, Demonstração e Validação Industrial</t>
  </si>
  <si>
    <t>A5 - Promoção e Disseminação de Resultados</t>
  </si>
  <si>
    <t>A6 - Gestão Técnica do Projeto</t>
  </si>
  <si>
    <t>A7 - Industrialização, Inovação Produtiva e Scale-up Industrial</t>
  </si>
  <si>
    <t>C.Total/Ano</t>
  </si>
  <si>
    <t>Âmbito</t>
  </si>
  <si>
    <t>Ativ.</t>
  </si>
  <si>
    <t>Designação</t>
  </si>
  <si>
    <t>Rubrica</t>
  </si>
  <si>
    <t>Ano</t>
  </si>
  <si>
    <t>Mês</t>
  </si>
  <si>
    <t>Custo</t>
  </si>
  <si>
    <t>EF</t>
  </si>
  <si>
    <t>Custos com Pessoal</t>
  </si>
  <si>
    <t>Sede</t>
  </si>
  <si>
    <t>NOTA: Limite de 85,00€/noite por estadia em Hotel (DL 106/98) em território nacional; 148,91€/noite no estrangeiro</t>
  </si>
  <si>
    <t>Orçamento Total</t>
  </si>
  <si>
    <t>Total</t>
  </si>
  <si>
    <t>Custos Indiretos</t>
  </si>
  <si>
    <t>Total:</t>
  </si>
  <si>
    <t>C7 - Specialist in Spectral imaging and chemical sensing</t>
  </si>
  <si>
    <t>C8 - Specialist in Optical Sensors and Integration</t>
  </si>
  <si>
    <t>C9 - Specialist in Spectral imaging for Mining Applications</t>
  </si>
  <si>
    <t>D6 - Specialist in AI</t>
  </si>
  <si>
    <t>C10 - Specialist in Hardware Design and Integration</t>
  </si>
  <si>
    <t>C11 - Specialist in Signal Processing</t>
  </si>
  <si>
    <t>A contratar</t>
  </si>
  <si>
    <t>Contrato de Trabalho a Tempo Indeterminado (Sem Termo)</t>
  </si>
  <si>
    <t>Bolseiro</t>
  </si>
  <si>
    <t>INESC TEC</t>
  </si>
  <si>
    <t>D7 - Specialist in AI</t>
  </si>
  <si>
    <t>C7</t>
  </si>
  <si>
    <t>Doutorado 1</t>
  </si>
  <si>
    <t>C8</t>
  </si>
  <si>
    <t>Catarina Monteiro</t>
  </si>
  <si>
    <t>C9</t>
  </si>
  <si>
    <t>Diana Guimarães</t>
  </si>
  <si>
    <t>D6</t>
  </si>
  <si>
    <t>Pedro Jorge (*FCUP, a confirmar)</t>
  </si>
  <si>
    <t>D7</t>
  </si>
  <si>
    <t>Nuno Silva (*FCUP, a confirmar)</t>
  </si>
  <si>
    <t>C10</t>
  </si>
  <si>
    <t>Bolsa Mestre</t>
  </si>
  <si>
    <t>C11</t>
  </si>
  <si>
    <t>R03160  |  Rui Diogo Rebelo</t>
  </si>
  <si>
    <t>R08460  |  Sthefan Berwanger</t>
  </si>
  <si>
    <t>R07929  |  Ana Carolina Chaves</t>
  </si>
  <si>
    <t>R00283  |  César Toscano</t>
  </si>
  <si>
    <t>Pólo Ciências</t>
  </si>
  <si>
    <t>Open Access Pub</t>
  </si>
  <si>
    <t>R08340  |  Hélio Cristiano Castro</t>
  </si>
  <si>
    <t>R04363  |  Cristovão Sousa</t>
  </si>
  <si>
    <t>R05965  |  Luís Guimarães</t>
  </si>
  <si>
    <t>R08941  |  Ricardo Ferreira</t>
  </si>
  <si>
    <t>RG10N004  |  C I&amp;D - Equida B (Henrique Silva)</t>
  </si>
  <si>
    <t>R05988  |  Vera Miguéis</t>
  </si>
  <si>
    <t>R02160-1  |  Américo Azevedo</t>
  </si>
  <si>
    <t>SYSTEM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</si>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</sst>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7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95462"/>
      <name val="Segoe UI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/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EE2E6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0" fontId="0" fillId="0" borderId="1" xfId="1" applyNumberFormat="1" applyFont="1" applyBorder="1"/>
    <xf numFmtId="2" fontId="0" fillId="0" borderId="1" xfId="0" applyNumberFormat="1" applyBorder="1"/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0" fontId="5" fillId="4" borderId="6" xfId="0" applyFont="1" applyFill="1" applyBorder="1"/>
    <xf numFmtId="0" fontId="5" fillId="4" borderId="5" xfId="0" applyFont="1" applyFill="1" applyBorder="1" applyAlignment="1">
      <alignment horizontal="left"/>
    </xf>
    <xf numFmtId="0" fontId="0" fillId="4" borderId="5" xfId="0" applyFill="1" applyBorder="1"/>
    <xf numFmtId="164" fontId="0" fillId="0" borderId="0" xfId="0" applyNumberFormat="1"/>
    <xf numFmtId="0" fontId="6" fillId="0" borderId="1" xfId="0" applyFont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6" borderId="1" xfId="0" applyFont="1" applyFill="1" applyBorder="1"/>
    <xf numFmtId="0" fontId="5" fillId="0" borderId="1" xfId="0" applyFont="1" applyBorder="1"/>
    <xf numFmtId="2" fontId="5" fillId="0" borderId="1" xfId="0" applyNumberFormat="1" applyFont="1" applyBorder="1"/>
    <xf numFmtId="10" fontId="5" fillId="0" borderId="1" xfId="1" applyNumberFormat="1" applyFont="1" applyBorder="1"/>
    <xf numFmtId="0" fontId="0" fillId="7" borderId="1" xfId="0" applyFill="1" applyBorder="1"/>
    <xf numFmtId="0" fontId="0" fillId="0" borderId="6" xfId="0" applyBorder="1"/>
    <xf numFmtId="0" fontId="6" fillId="0" borderId="6" xfId="0" applyFont="1" applyBorder="1"/>
    <xf numFmtId="0" fontId="0" fillId="4" borderId="6" xfId="0" applyFill="1" applyBorder="1"/>
    <xf numFmtId="0" fontId="0" fillId="7" borderId="6" xfId="0" applyFill="1" applyBorder="1"/>
    <xf numFmtId="10" fontId="0" fillId="0" borderId="6" xfId="1" applyNumberFormat="1" applyFont="1" applyBorder="1"/>
    <xf numFmtId="0" fontId="0" fillId="0" borderId="5" xfId="0" applyBorder="1"/>
    <xf numFmtId="0" fontId="6" fillId="0" borderId="5" xfId="0" applyFont="1" applyBorder="1"/>
    <xf numFmtId="2" fontId="0" fillId="0" borderId="5" xfId="0" applyNumberFormat="1" applyBorder="1"/>
    <xf numFmtId="10" fontId="0" fillId="0" borderId="5" xfId="1" applyNumberFormat="1" applyFont="1" applyBorder="1"/>
    <xf numFmtId="0" fontId="6" fillId="5" borderId="5" xfId="0" applyFont="1" applyFill="1" applyBorder="1"/>
    <xf numFmtId="164" fontId="0" fillId="3" borderId="1" xfId="0" applyNumberFormat="1" applyFill="1" applyBorder="1"/>
    <xf numFmtId="164" fontId="0" fillId="0" borderId="1" xfId="0" applyNumberFormat="1" applyBorder="1"/>
    <xf numFmtId="0" fontId="7" fillId="8" borderId="1" xfId="0" applyFont="1" applyFill="1" applyBorder="1"/>
    <xf numFmtId="0" fontId="7" fillId="8" borderId="6" xfId="0" applyFont="1" applyFill="1" applyBorder="1"/>
    <xf numFmtId="0" fontId="8" fillId="8" borderId="6" xfId="0" applyFont="1" applyFill="1" applyBorder="1"/>
    <xf numFmtId="0" fontId="5" fillId="4" borderId="1" xfId="0" applyFont="1" applyFill="1" applyBorder="1" applyAlignment="1">
      <alignment horizontal="center"/>
    </xf>
    <xf numFmtId="44" fontId="0" fillId="0" borderId="0" xfId="3" applyFont="1"/>
    <xf numFmtId="44" fontId="0" fillId="0" borderId="0" xfId="0" applyNumberFormat="1"/>
    <xf numFmtId="0" fontId="2" fillId="2" borderId="7" xfId="0" applyFont="1" applyFill="1" applyBorder="1" applyAlignment="1">
      <alignment horizontal="left" vertical="center" wrapText="1"/>
    </xf>
    <xf numFmtId="167" fontId="0" fillId="0" borderId="0" xfId="1" applyNumberFormat="1" applyFont="1"/>
    <xf numFmtId="167" fontId="0" fillId="0" borderId="0" xfId="0" applyNumberFormat="1"/>
  </cellXfs>
  <cellStyles count="4">
    <cellStyle name="Currency" xfId="3" builtinId="4"/>
    <cellStyle name="Normal" xfId="0" builtinId="0"/>
    <cellStyle name="Normal 2" xfId="2" xr:uid="{231D0775-5D8B-4AF5-91AB-5E1FB86D327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barbas\Programas%20Nacionais\PORTUGAL%202020\Programas%20de%20Atividades%20Conjuntas%20(PAC)\Budget_PAC_T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  <sheetName val="Listas_limites"/>
      <sheetName val="Budget"/>
      <sheetName val="Missões"/>
      <sheetName val="Equipment"/>
      <sheetName val="Contract"/>
      <sheetName val="Research Fellowships"/>
      <sheetName val="Custo_Pessoa.mês_refª"/>
      <sheetName val="Depreciation"/>
      <sheetName val="Goods_and_Services"/>
      <sheetName val="Patent Registration"/>
      <sheetName val="Subcontracts"/>
      <sheetName val="Adaptation of Buildings"/>
      <sheetName val="Componen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6F4-950E-4EDE-A1D9-17A0FC4875BB}">
  <dimension ref="A1:A21"/>
  <sheetViews>
    <sheetView workbookViewId="0">
      <selection activeCell="A19" sqref="A19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C47C-4DCF-42C3-88C5-83DD2F1970E9}">
  <dimension ref="A1:O26"/>
  <sheetViews>
    <sheetView workbookViewId="0">
      <selection activeCell="P22" sqref="P22"/>
    </sheetView>
  </sheetViews>
  <sheetFormatPr defaultRowHeight="14.5" x14ac:dyDescent="0.35"/>
  <cols>
    <col min="2" max="2" width="13.6328125" customWidth="1"/>
    <col min="3" max="3" width="7.6328125" customWidth="1"/>
    <col min="4" max="4" width="12.08984375" customWidth="1"/>
    <col min="5" max="5" width="90.90625" customWidth="1"/>
    <col min="6" max="6" width="20.36328125" customWidth="1"/>
    <col min="7" max="7" width="40.08984375" customWidth="1"/>
    <col min="8" max="8" width="17.36328125" customWidth="1"/>
    <col min="9" max="10" width="13" customWidth="1"/>
    <col min="11" max="12" width="11.54296875" customWidth="1"/>
    <col min="13" max="13" width="9.08984375" customWidth="1"/>
    <col min="15" max="15" width="35" bestFit="1" customWidth="1"/>
  </cols>
  <sheetData>
    <row r="1" spans="1:15" ht="41.25" customHeight="1" x14ac:dyDescent="0.35">
      <c r="A1" s="5" t="s">
        <v>21</v>
      </c>
      <c r="B1" s="5" t="s">
        <v>22</v>
      </c>
      <c r="C1" s="5" t="s">
        <v>23</v>
      </c>
      <c r="D1" s="5" t="s">
        <v>24</v>
      </c>
      <c r="E1" s="5" t="s">
        <v>22</v>
      </c>
      <c r="F1" s="5" t="s">
        <v>25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30</v>
      </c>
      <c r="L1" s="5" t="s">
        <v>31</v>
      </c>
      <c r="M1" s="9" t="s">
        <v>32</v>
      </c>
    </row>
    <row r="2" spans="1:15" x14ac:dyDescent="0.35">
      <c r="A2" s="4"/>
      <c r="B2" s="18" t="s">
        <v>107</v>
      </c>
      <c r="C2" s="4" t="s">
        <v>33</v>
      </c>
      <c r="D2" s="12"/>
      <c r="E2" s="18" t="s">
        <v>34</v>
      </c>
      <c r="F2" s="4" t="s">
        <v>35</v>
      </c>
      <c r="G2" s="4" t="s">
        <v>36</v>
      </c>
      <c r="H2" s="8">
        <f>4443.99</f>
        <v>4443.99</v>
      </c>
      <c r="I2" s="4">
        <f>IF(G2="Bolseiro",158.99,0)</f>
        <v>0</v>
      </c>
      <c r="J2" s="4">
        <f>IF(G2="Bolseiro",68.65,0)</f>
        <v>0</v>
      </c>
      <c r="K2" s="7">
        <f>IF(G2="Bolseiro",0,22.3%)</f>
        <v>0.223</v>
      </c>
      <c r="L2" s="7" t="s">
        <v>33</v>
      </c>
      <c r="M2" s="12">
        <f>IF(G2="Bolseiro",(H2+I2+J2)*12/11,H2*(1+K2)*14/11)</f>
        <v>6917.2724345454544</v>
      </c>
      <c r="O2" s="38" t="s">
        <v>122</v>
      </c>
    </row>
    <row r="3" spans="1:15" x14ac:dyDescent="0.35">
      <c r="A3" s="4"/>
      <c r="B3" s="18" t="s">
        <v>107</v>
      </c>
      <c r="C3" s="4" t="s">
        <v>33</v>
      </c>
      <c r="D3" s="12"/>
      <c r="E3" s="18" t="s">
        <v>37</v>
      </c>
      <c r="F3" s="4" t="s">
        <v>35</v>
      </c>
      <c r="G3" s="4" t="s">
        <v>36</v>
      </c>
      <c r="H3" s="8">
        <f>1749.16</f>
        <v>1749.16</v>
      </c>
      <c r="I3" s="4">
        <f t="shared" ref="I3:I26" si="0">IF(G3="Bolseiro",158.99,0)</f>
        <v>0</v>
      </c>
      <c r="J3" s="4">
        <f t="shared" ref="J3:J26" si="1">IF(G3="Bolseiro",68.65,0)</f>
        <v>0</v>
      </c>
      <c r="K3" s="7">
        <f t="shared" ref="K3:K26" si="2">IF(G3="Bolseiro",0,22.3%)</f>
        <v>0.223</v>
      </c>
      <c r="L3" s="7" t="s">
        <v>33</v>
      </c>
      <c r="M3" s="12">
        <f t="shared" ref="M3:M26" si="3">IF(G3="Bolseiro",(H3+I3+J3)*12/11,H3*(1+K3)*14/11)</f>
        <v>2722.6470472727274</v>
      </c>
      <c r="O3" s="39" t="s">
        <v>123</v>
      </c>
    </row>
    <row r="4" spans="1:15" x14ac:dyDescent="0.35">
      <c r="A4" s="4"/>
      <c r="B4" s="18" t="s">
        <v>107</v>
      </c>
      <c r="C4" s="4" t="s">
        <v>33</v>
      </c>
      <c r="D4" s="12"/>
      <c r="E4" s="18" t="s">
        <v>38</v>
      </c>
      <c r="F4" s="4" t="s">
        <v>35</v>
      </c>
      <c r="G4" s="4" t="s">
        <v>36</v>
      </c>
      <c r="H4" s="8">
        <f>1896.07</f>
        <v>1896.07</v>
      </c>
      <c r="I4" s="4">
        <f t="shared" si="0"/>
        <v>0</v>
      </c>
      <c r="J4" s="4">
        <f t="shared" si="1"/>
        <v>0</v>
      </c>
      <c r="K4" s="7">
        <f t="shared" si="2"/>
        <v>0.223</v>
      </c>
      <c r="L4" s="7" t="s">
        <v>33</v>
      </c>
      <c r="M4" s="12">
        <f t="shared" si="3"/>
        <v>2951.3191400000001</v>
      </c>
      <c r="O4" s="39" t="s">
        <v>124</v>
      </c>
    </row>
    <row r="5" spans="1:15" x14ac:dyDescent="0.35">
      <c r="A5" s="4"/>
      <c r="B5" s="18" t="s">
        <v>107</v>
      </c>
      <c r="C5" s="4" t="s">
        <v>33</v>
      </c>
      <c r="D5" s="12"/>
      <c r="E5" s="18" t="s">
        <v>39</v>
      </c>
      <c r="F5" s="4" t="s">
        <v>35</v>
      </c>
      <c r="G5" s="4" t="s">
        <v>36</v>
      </c>
      <c r="H5" s="8">
        <f>4029.99</f>
        <v>4029.99</v>
      </c>
      <c r="I5" s="4">
        <f t="shared" si="0"/>
        <v>0</v>
      </c>
      <c r="J5" s="4">
        <f t="shared" si="1"/>
        <v>0</v>
      </c>
      <c r="K5" s="7">
        <f t="shared" si="2"/>
        <v>0.223</v>
      </c>
      <c r="L5" s="7" t="s">
        <v>33</v>
      </c>
      <c r="M5" s="12">
        <f t="shared" si="3"/>
        <v>6272.8626163636363</v>
      </c>
      <c r="O5" s="39" t="s">
        <v>125</v>
      </c>
    </row>
    <row r="6" spans="1:15" x14ac:dyDescent="0.35">
      <c r="A6" s="4"/>
      <c r="B6" s="18" t="s">
        <v>107</v>
      </c>
      <c r="C6" s="4" t="s">
        <v>33</v>
      </c>
      <c r="D6" s="12"/>
      <c r="E6" s="18" t="s">
        <v>40</v>
      </c>
      <c r="F6" s="4" t="s">
        <v>41</v>
      </c>
      <c r="G6" s="4" t="s">
        <v>42</v>
      </c>
      <c r="H6" s="8">
        <f>3393.14</f>
        <v>3393.14</v>
      </c>
      <c r="I6" s="4">
        <f t="shared" si="0"/>
        <v>0</v>
      </c>
      <c r="J6" s="4">
        <f t="shared" si="1"/>
        <v>0</v>
      </c>
      <c r="K6" s="7">
        <f t="shared" si="2"/>
        <v>0.223</v>
      </c>
      <c r="L6" s="7" t="s">
        <v>33</v>
      </c>
      <c r="M6" s="12">
        <f t="shared" si="3"/>
        <v>5281.5766436363638</v>
      </c>
      <c r="O6" s="39" t="s">
        <v>128</v>
      </c>
    </row>
    <row r="7" spans="1:15" x14ac:dyDescent="0.35">
      <c r="A7" s="4"/>
      <c r="B7" s="18" t="s">
        <v>107</v>
      </c>
      <c r="C7" s="4" t="s">
        <v>33</v>
      </c>
      <c r="D7" s="12"/>
      <c r="E7" s="18" t="s">
        <v>43</v>
      </c>
      <c r="F7" s="22" t="s">
        <v>41</v>
      </c>
      <c r="G7" s="22" t="s">
        <v>42</v>
      </c>
      <c r="H7" s="23">
        <f>4035</f>
        <v>4035</v>
      </c>
      <c r="I7" s="22">
        <f t="shared" si="0"/>
        <v>0</v>
      </c>
      <c r="J7" s="22">
        <f t="shared" si="1"/>
        <v>0</v>
      </c>
      <c r="K7" s="24">
        <f t="shared" si="2"/>
        <v>0.223</v>
      </c>
      <c r="L7" s="24" t="s">
        <v>44</v>
      </c>
      <c r="M7" s="12">
        <f t="shared" si="3"/>
        <v>6280.6609090909096</v>
      </c>
      <c r="O7" s="40" t="s">
        <v>129</v>
      </c>
    </row>
    <row r="8" spans="1:15" x14ac:dyDescent="0.35">
      <c r="A8" s="4"/>
      <c r="B8" s="18" t="s">
        <v>107</v>
      </c>
      <c r="C8" s="4" t="s">
        <v>33</v>
      </c>
      <c r="D8" s="12"/>
      <c r="E8" s="18" t="s">
        <v>45</v>
      </c>
      <c r="F8" s="4" t="s">
        <v>41</v>
      </c>
      <c r="G8" s="4" t="s">
        <v>42</v>
      </c>
      <c r="H8" s="8">
        <f>4218.5</f>
        <v>4218.5</v>
      </c>
      <c r="I8" s="4">
        <f t="shared" si="0"/>
        <v>0</v>
      </c>
      <c r="J8" s="4">
        <f t="shared" si="1"/>
        <v>0</v>
      </c>
      <c r="K8" s="7">
        <f t="shared" si="2"/>
        <v>0.223</v>
      </c>
      <c r="L8" s="7" t="s">
        <v>33</v>
      </c>
      <c r="M8" s="12">
        <f t="shared" si="3"/>
        <v>6566.2870000000003</v>
      </c>
      <c r="O8" s="39" t="s">
        <v>130</v>
      </c>
    </row>
    <row r="9" spans="1:15" x14ac:dyDescent="0.35">
      <c r="A9" s="4"/>
      <c r="B9" s="18" t="s">
        <v>107</v>
      </c>
      <c r="C9" s="4" t="s">
        <v>33</v>
      </c>
      <c r="D9" s="12"/>
      <c r="E9" s="18" t="s">
        <v>46</v>
      </c>
      <c r="F9" s="4" t="s">
        <v>35</v>
      </c>
      <c r="G9" s="4" t="s">
        <v>36</v>
      </c>
      <c r="H9" s="8">
        <f>2229.65</f>
        <v>2229.65</v>
      </c>
      <c r="I9" s="4">
        <f t="shared" si="0"/>
        <v>0</v>
      </c>
      <c r="J9" s="4">
        <f t="shared" si="1"/>
        <v>0</v>
      </c>
      <c r="K9" s="7">
        <f t="shared" si="2"/>
        <v>0.223</v>
      </c>
      <c r="L9" s="7" t="s">
        <v>33</v>
      </c>
      <c r="M9" s="12">
        <f t="shared" si="3"/>
        <v>3470.5515727272737</v>
      </c>
      <c r="O9" s="39" t="s">
        <v>131</v>
      </c>
    </row>
    <row r="10" spans="1:15" x14ac:dyDescent="0.35">
      <c r="A10" s="4"/>
      <c r="B10" s="18" t="s">
        <v>107</v>
      </c>
      <c r="C10" s="4" t="s">
        <v>33</v>
      </c>
      <c r="D10" s="12"/>
      <c r="E10" s="18" t="s">
        <v>47</v>
      </c>
      <c r="F10" s="4" t="s">
        <v>35</v>
      </c>
      <c r="G10" s="4" t="s">
        <v>36</v>
      </c>
      <c r="H10" s="8">
        <f>1800</f>
        <v>1800</v>
      </c>
      <c r="I10" s="4">
        <f t="shared" si="0"/>
        <v>0</v>
      </c>
      <c r="J10" s="4">
        <f t="shared" si="1"/>
        <v>0</v>
      </c>
      <c r="K10" s="7">
        <f t="shared" si="2"/>
        <v>0.223</v>
      </c>
      <c r="L10" s="7" t="s">
        <v>33</v>
      </c>
      <c r="M10" s="12">
        <f t="shared" si="3"/>
        <v>2801.7818181818184</v>
      </c>
      <c r="O10" s="39" t="s">
        <v>132</v>
      </c>
    </row>
    <row r="11" spans="1:15" x14ac:dyDescent="0.35">
      <c r="A11" s="4"/>
      <c r="B11" s="18" t="s">
        <v>107</v>
      </c>
      <c r="C11" s="4" t="s">
        <v>33</v>
      </c>
      <c r="D11" s="12"/>
      <c r="E11" s="18" t="s">
        <v>48</v>
      </c>
      <c r="F11" s="4" t="s">
        <v>41</v>
      </c>
      <c r="G11" s="4" t="s">
        <v>42</v>
      </c>
      <c r="H11" s="8">
        <f>4218.5</f>
        <v>4218.5</v>
      </c>
      <c r="I11" s="4">
        <f t="shared" si="0"/>
        <v>0</v>
      </c>
      <c r="J11" s="4">
        <f t="shared" si="1"/>
        <v>0</v>
      </c>
      <c r="K11" s="7">
        <f t="shared" si="2"/>
        <v>0.223</v>
      </c>
      <c r="L11" s="7" t="s">
        <v>33</v>
      </c>
      <c r="M11" s="12">
        <f t="shared" si="3"/>
        <v>6566.2870000000003</v>
      </c>
      <c r="O11" s="39" t="s">
        <v>133</v>
      </c>
    </row>
    <row r="12" spans="1:15" ht="15" thickBot="1" x14ac:dyDescent="0.4">
      <c r="A12" s="31"/>
      <c r="B12" s="32" t="s">
        <v>107</v>
      </c>
      <c r="C12" s="31" t="s">
        <v>33</v>
      </c>
      <c r="D12" s="16"/>
      <c r="E12" s="32" t="s">
        <v>49</v>
      </c>
      <c r="F12" s="31" t="s">
        <v>41</v>
      </c>
      <c r="G12" s="31" t="s">
        <v>42</v>
      </c>
      <c r="H12" s="33">
        <v>5227.28</v>
      </c>
      <c r="I12" s="31">
        <f t="shared" si="0"/>
        <v>0</v>
      </c>
      <c r="J12" s="31">
        <f t="shared" si="1"/>
        <v>0</v>
      </c>
      <c r="K12" s="34">
        <f t="shared" si="2"/>
        <v>0.223</v>
      </c>
      <c r="L12" s="34" t="s">
        <v>33</v>
      </c>
      <c r="M12" s="16">
        <f t="shared" si="3"/>
        <v>8136.4989236363645</v>
      </c>
      <c r="O12" s="38" t="s">
        <v>134</v>
      </c>
    </row>
    <row r="13" spans="1:15" x14ac:dyDescent="0.35">
      <c r="A13" s="26"/>
      <c r="B13" s="27" t="s">
        <v>107</v>
      </c>
      <c r="C13" s="26" t="s">
        <v>44</v>
      </c>
      <c r="D13" s="28"/>
      <c r="E13" s="27" t="s">
        <v>98</v>
      </c>
      <c r="F13" s="26" t="s">
        <v>41</v>
      </c>
      <c r="G13" s="26" t="s">
        <v>104</v>
      </c>
      <c r="H13" s="29">
        <v>2500</v>
      </c>
      <c r="I13" s="26">
        <f t="shared" ref="I13:I21" si="4">IF(G13="Bolseiro",158.99,0)</f>
        <v>0</v>
      </c>
      <c r="J13" s="26">
        <f t="shared" ref="J13:J21" si="5">IF(G13="Bolseiro",68.65,0)</f>
        <v>0</v>
      </c>
      <c r="K13" s="30">
        <f t="shared" ref="K13:K21" si="6">IF(G13="Bolseiro",0,22.3%)</f>
        <v>0.223</v>
      </c>
      <c r="L13" s="30"/>
      <c r="M13" s="28">
        <f t="shared" ref="M13:M21" si="7">IF(G13="Bolseiro",(H13+I13+J13)*12/11,H13*(1+K13)*14/11)</f>
        <v>3891.3636363636365</v>
      </c>
      <c r="O13" s="4" t="s">
        <v>110</v>
      </c>
    </row>
    <row r="14" spans="1:15" x14ac:dyDescent="0.35">
      <c r="A14" s="4"/>
      <c r="B14" s="18" t="s">
        <v>107</v>
      </c>
      <c r="C14" s="4" t="s">
        <v>33</v>
      </c>
      <c r="D14" s="12"/>
      <c r="E14" s="18" t="s">
        <v>99</v>
      </c>
      <c r="F14" s="4" t="s">
        <v>41</v>
      </c>
      <c r="G14" s="4" t="s">
        <v>36</v>
      </c>
      <c r="H14" s="25">
        <v>2500</v>
      </c>
      <c r="I14" s="4">
        <f t="shared" si="4"/>
        <v>0</v>
      </c>
      <c r="J14" s="4">
        <f t="shared" si="5"/>
        <v>0</v>
      </c>
      <c r="K14" s="7">
        <f t="shared" si="6"/>
        <v>0.223</v>
      </c>
      <c r="L14" s="7"/>
      <c r="M14" s="12">
        <f t="shared" si="7"/>
        <v>3891.3636363636365</v>
      </c>
      <c r="O14" s="4" t="s">
        <v>112</v>
      </c>
    </row>
    <row r="15" spans="1:15" x14ac:dyDescent="0.35">
      <c r="A15" s="4"/>
      <c r="B15" s="18" t="s">
        <v>107</v>
      </c>
      <c r="C15" s="4" t="s">
        <v>33</v>
      </c>
      <c r="D15" s="12"/>
      <c r="E15" s="18" t="s">
        <v>100</v>
      </c>
      <c r="F15" s="4" t="s">
        <v>41</v>
      </c>
      <c r="G15" s="4" t="s">
        <v>105</v>
      </c>
      <c r="H15" s="25">
        <v>2500</v>
      </c>
      <c r="I15" s="4">
        <f t="shared" si="4"/>
        <v>0</v>
      </c>
      <c r="J15" s="4">
        <f t="shared" si="5"/>
        <v>0</v>
      </c>
      <c r="K15" s="7">
        <f t="shared" si="6"/>
        <v>0.223</v>
      </c>
      <c r="L15" s="7"/>
      <c r="M15" s="12">
        <f t="shared" si="7"/>
        <v>3891.3636363636365</v>
      </c>
      <c r="O15" s="4" t="s">
        <v>114</v>
      </c>
    </row>
    <row r="16" spans="1:15" x14ac:dyDescent="0.35">
      <c r="A16" s="4"/>
      <c r="B16" s="18" t="s">
        <v>107</v>
      </c>
      <c r="C16" s="4" t="s">
        <v>33</v>
      </c>
      <c r="D16" s="12"/>
      <c r="E16" s="18" t="s">
        <v>101</v>
      </c>
      <c r="F16" s="4" t="s">
        <v>41</v>
      </c>
      <c r="G16" s="4" t="s">
        <v>42</v>
      </c>
      <c r="H16" s="25">
        <v>3700</v>
      </c>
      <c r="I16" s="4">
        <f t="shared" si="4"/>
        <v>0</v>
      </c>
      <c r="J16" s="4">
        <f t="shared" si="5"/>
        <v>0</v>
      </c>
      <c r="K16" s="7">
        <f t="shared" si="6"/>
        <v>0.223</v>
      </c>
      <c r="L16" s="7"/>
      <c r="M16" s="12">
        <f t="shared" si="7"/>
        <v>5759.2181818181825</v>
      </c>
      <c r="O16" s="4" t="s">
        <v>116</v>
      </c>
    </row>
    <row r="17" spans="1:15" x14ac:dyDescent="0.35">
      <c r="A17" s="4"/>
      <c r="B17" s="18" t="s">
        <v>107</v>
      </c>
      <c r="C17" s="4" t="s">
        <v>33</v>
      </c>
      <c r="D17" s="12"/>
      <c r="E17" s="18" t="s">
        <v>108</v>
      </c>
      <c r="F17" s="4" t="s">
        <v>41</v>
      </c>
      <c r="G17" s="4" t="s">
        <v>42</v>
      </c>
      <c r="H17" s="25">
        <v>3500</v>
      </c>
      <c r="I17" s="4">
        <f t="shared" si="4"/>
        <v>0</v>
      </c>
      <c r="J17" s="4">
        <f t="shared" si="5"/>
        <v>0</v>
      </c>
      <c r="K17" s="7">
        <f t="shared" si="6"/>
        <v>0.223</v>
      </c>
      <c r="L17" s="7"/>
      <c r="M17" s="12">
        <f t="shared" si="7"/>
        <v>5447.909090909091</v>
      </c>
      <c r="O17" s="4" t="s">
        <v>118</v>
      </c>
    </row>
    <row r="18" spans="1:15" x14ac:dyDescent="0.35">
      <c r="A18" s="4"/>
      <c r="B18" s="18" t="s">
        <v>107</v>
      </c>
      <c r="C18" s="4" t="s">
        <v>44</v>
      </c>
      <c r="D18" s="12"/>
      <c r="E18" s="18" t="s">
        <v>102</v>
      </c>
      <c r="F18" s="4" t="s">
        <v>35</v>
      </c>
      <c r="G18" s="4" t="s">
        <v>106</v>
      </c>
      <c r="H18" s="25">
        <v>1400</v>
      </c>
      <c r="I18" s="4">
        <f t="shared" si="4"/>
        <v>158.99</v>
      </c>
      <c r="J18" s="4">
        <f t="shared" si="5"/>
        <v>68.650000000000006</v>
      </c>
      <c r="K18" s="7">
        <f t="shared" si="6"/>
        <v>0</v>
      </c>
      <c r="L18" s="7"/>
      <c r="M18" s="12">
        <f t="shared" si="7"/>
        <v>1775.6072727272729</v>
      </c>
      <c r="O18" s="4" t="s">
        <v>120</v>
      </c>
    </row>
    <row r="19" spans="1:15" x14ac:dyDescent="0.35">
      <c r="A19" s="4"/>
      <c r="B19" s="18" t="s">
        <v>107</v>
      </c>
      <c r="C19" s="4" t="s">
        <v>44</v>
      </c>
      <c r="D19" s="12"/>
      <c r="E19" s="18" t="s">
        <v>103</v>
      </c>
      <c r="F19" s="4" t="s">
        <v>35</v>
      </c>
      <c r="G19" s="4" t="s">
        <v>106</v>
      </c>
      <c r="H19" s="25">
        <v>1400</v>
      </c>
      <c r="I19" s="4">
        <f t="shared" si="4"/>
        <v>158.99</v>
      </c>
      <c r="J19" s="4">
        <f t="shared" si="5"/>
        <v>68.650000000000006</v>
      </c>
      <c r="K19" s="7">
        <f t="shared" si="6"/>
        <v>0</v>
      </c>
      <c r="L19" s="7"/>
      <c r="M19" s="12">
        <f t="shared" si="7"/>
        <v>1775.6072727272729</v>
      </c>
      <c r="O19" s="4" t="s">
        <v>120</v>
      </c>
    </row>
    <row r="20" spans="1:15" x14ac:dyDescent="0.35">
      <c r="A20" s="4"/>
      <c r="B20" s="4"/>
      <c r="C20" s="4"/>
      <c r="D20" s="12"/>
      <c r="E20" s="4"/>
      <c r="F20" s="4"/>
      <c r="G20" s="4"/>
      <c r="H20" s="4"/>
      <c r="I20" s="4">
        <f t="shared" si="4"/>
        <v>0</v>
      </c>
      <c r="J20" s="4">
        <f t="shared" si="5"/>
        <v>0</v>
      </c>
      <c r="K20" s="7">
        <f t="shared" si="6"/>
        <v>0.223</v>
      </c>
      <c r="L20" s="7"/>
      <c r="M20" s="12">
        <f t="shared" si="7"/>
        <v>0</v>
      </c>
    </row>
    <row r="21" spans="1:15" x14ac:dyDescent="0.35">
      <c r="A21" s="4"/>
      <c r="B21" s="4"/>
      <c r="C21" s="4"/>
      <c r="D21" s="12"/>
      <c r="E21" s="4"/>
      <c r="F21" s="4"/>
      <c r="G21" s="4"/>
      <c r="H21" s="4"/>
      <c r="I21" s="4">
        <f t="shared" si="4"/>
        <v>0</v>
      </c>
      <c r="J21" s="4">
        <f t="shared" si="5"/>
        <v>0</v>
      </c>
      <c r="K21" s="7">
        <f t="shared" si="6"/>
        <v>0.223</v>
      </c>
      <c r="L21" s="7"/>
      <c r="M21" s="12">
        <f t="shared" si="7"/>
        <v>0</v>
      </c>
    </row>
    <row r="22" spans="1:15" x14ac:dyDescent="0.35">
      <c r="A22" s="4"/>
      <c r="B22" s="4"/>
      <c r="C22" s="4"/>
      <c r="D22" s="12"/>
      <c r="E22" s="4"/>
      <c r="F22" s="4"/>
      <c r="G22" s="4"/>
      <c r="H22" s="4"/>
      <c r="I22" s="4">
        <f t="shared" si="0"/>
        <v>0</v>
      </c>
      <c r="J22" s="4">
        <f t="shared" si="1"/>
        <v>0</v>
      </c>
      <c r="K22" s="7">
        <f t="shared" si="2"/>
        <v>0.223</v>
      </c>
      <c r="L22" s="7"/>
      <c r="M22" s="12">
        <f t="shared" si="3"/>
        <v>0</v>
      </c>
    </row>
    <row r="23" spans="1:15" x14ac:dyDescent="0.35">
      <c r="A23" s="4"/>
      <c r="B23" s="4"/>
      <c r="C23" s="4"/>
      <c r="D23" s="12"/>
      <c r="E23" s="4"/>
      <c r="F23" s="4"/>
      <c r="G23" s="4"/>
      <c r="H23" s="4"/>
      <c r="I23" s="4">
        <f t="shared" si="0"/>
        <v>0</v>
      </c>
      <c r="J23" s="4">
        <f t="shared" si="1"/>
        <v>0</v>
      </c>
      <c r="K23" s="7">
        <f t="shared" si="2"/>
        <v>0.223</v>
      </c>
      <c r="L23" s="7"/>
      <c r="M23" s="12">
        <f t="shared" si="3"/>
        <v>0</v>
      </c>
    </row>
    <row r="24" spans="1:15" x14ac:dyDescent="0.35">
      <c r="A24" s="4"/>
      <c r="B24" s="4"/>
      <c r="C24" s="4"/>
      <c r="D24" s="12"/>
      <c r="E24" s="4"/>
      <c r="F24" s="4"/>
      <c r="G24" s="4"/>
      <c r="H24" s="4"/>
      <c r="I24" s="4">
        <f t="shared" si="0"/>
        <v>0</v>
      </c>
      <c r="J24" s="4">
        <f t="shared" si="1"/>
        <v>0</v>
      </c>
      <c r="K24" s="7">
        <f t="shared" si="2"/>
        <v>0.223</v>
      </c>
      <c r="L24" s="7"/>
      <c r="M24" s="12">
        <f t="shared" si="3"/>
        <v>0</v>
      </c>
    </row>
    <row r="25" spans="1:15" x14ac:dyDescent="0.35">
      <c r="A25" s="4"/>
      <c r="B25" s="4"/>
      <c r="C25" s="4"/>
      <c r="D25" s="12"/>
      <c r="E25" s="4"/>
      <c r="F25" s="4"/>
      <c r="G25" s="4"/>
      <c r="H25" s="4"/>
      <c r="I25" s="4">
        <f t="shared" si="0"/>
        <v>0</v>
      </c>
      <c r="J25" s="4">
        <f t="shared" si="1"/>
        <v>0</v>
      </c>
      <c r="K25" s="7">
        <f t="shared" si="2"/>
        <v>0.223</v>
      </c>
      <c r="L25" s="7"/>
      <c r="M25" s="12">
        <f t="shared" si="3"/>
        <v>0</v>
      </c>
    </row>
    <row r="26" spans="1:15" x14ac:dyDescent="0.35">
      <c r="A26" s="4"/>
      <c r="B26" s="4"/>
      <c r="C26" s="4"/>
      <c r="D26" s="12"/>
      <c r="E26" s="4"/>
      <c r="F26" s="4"/>
      <c r="G26" s="4"/>
      <c r="H26" s="4"/>
      <c r="I26" s="4">
        <f t="shared" si="0"/>
        <v>0</v>
      </c>
      <c r="J26" s="4">
        <f t="shared" si="1"/>
        <v>0</v>
      </c>
      <c r="K26" s="7">
        <f t="shared" si="2"/>
        <v>0.223</v>
      </c>
      <c r="L26" s="7"/>
      <c r="M26" s="12">
        <f t="shared" si="3"/>
        <v>0</v>
      </c>
    </row>
  </sheetData>
  <dataValidations count="5">
    <dataValidation type="list" allowBlank="1" showInputMessage="1" showErrorMessage="1" sqref="C2:C26" xr:uid="{5E001FA0-DDB3-4CC6-986E-FD472A54CFAA}">
      <formula1>"Sim,Não"</formula1>
    </dataValidation>
    <dataValidation showInputMessage="1" showErrorMessage="1" sqref="D2:D26 H2:K2 I3:K26" xr:uid="{A8DD4745-15CB-4698-9FD2-ACBE906F537F}"/>
    <dataValidation type="list" showInputMessage="1" showErrorMessage="1" sqref="F2:F26" xr:uid="{985177A4-E23B-4C89-9A73-F51FD5426923}">
      <formula1>"Nível 6 - Licenciado, Nível 7 - Mestre, Nível 8 - Doutorado"</formula1>
    </dataValidation>
    <dataValidation type="list" showInputMessage="1" showErrorMessage="1" sqref="G2:G26" xr:uid="{B1FB503C-64E5-4882-BCFD-C77BE4C120F6}">
      <formula1>"A contratar, Contrato de Trabalho a Termo Certo, Contrato de Trablho a Termo Incerto, Contrato de Trabalho a Tempo Indeterminado (Sem Termo), Bolseiro, Quadro de Cedência Ocasional [Docentes]"</formula1>
    </dataValidation>
    <dataValidation type="list" showInputMessage="1" showErrorMessage="1" sqref="L2:L26" xr:uid="{2A46D5DB-CA48-4BA6-8CBD-48DF2F03A7ED}">
      <formula1>"Sim, Não"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ED3E-8C69-45AC-8A46-270B22114136}">
  <dimension ref="A1:R96"/>
  <sheetViews>
    <sheetView topLeftCell="E36" zoomScale="110" zoomScaleNormal="110" workbookViewId="0">
      <selection activeCell="M94" sqref="M94"/>
    </sheetView>
  </sheetViews>
  <sheetFormatPr defaultRowHeight="14.5" x14ac:dyDescent="0.35"/>
  <cols>
    <col min="2" max="2" width="122.90625" bestFit="1" customWidth="1"/>
    <col min="3" max="3" width="25.08984375" customWidth="1"/>
    <col min="4" max="4" width="12.90625" customWidth="1"/>
    <col min="5" max="5" width="122.90625" customWidth="1"/>
    <col min="6" max="6" width="56.54296875" bestFit="1" customWidth="1"/>
    <col min="7" max="10" width="9.90625" customWidth="1"/>
    <col min="11" max="11" width="15.90625" customWidth="1"/>
    <col min="12" max="12" width="15" customWidth="1"/>
    <col min="13" max="13" width="14.36328125" customWidth="1"/>
    <col min="14" max="14" width="13.90625" customWidth="1"/>
    <col min="15" max="15" width="14.6328125" customWidth="1"/>
    <col min="18" max="18" width="14.453125" bestFit="1" customWidth="1"/>
  </cols>
  <sheetData>
    <row r="1" spans="1:15" ht="23" x14ac:dyDescent="0.35">
      <c r="A1" s="5" t="s">
        <v>50</v>
      </c>
      <c r="B1" s="5" t="s">
        <v>51</v>
      </c>
      <c r="C1" s="5" t="s">
        <v>52</v>
      </c>
      <c r="D1" s="5" t="s">
        <v>53</v>
      </c>
      <c r="E1" s="5" t="s">
        <v>51</v>
      </c>
      <c r="F1" s="5" t="s">
        <v>54</v>
      </c>
      <c r="G1" s="9" t="s">
        <v>55</v>
      </c>
      <c r="H1" s="9" t="s">
        <v>56</v>
      </c>
      <c r="I1" s="9" t="s">
        <v>57</v>
      </c>
      <c r="J1" s="9" t="s">
        <v>58</v>
      </c>
      <c r="K1" s="6" t="s">
        <v>59</v>
      </c>
      <c r="L1" s="9" t="s">
        <v>60</v>
      </c>
      <c r="M1" s="9" t="s">
        <v>61</v>
      </c>
      <c r="N1" s="9" t="s">
        <v>62</v>
      </c>
      <c r="O1" s="9" t="s">
        <v>63</v>
      </c>
    </row>
    <row r="2" spans="1:15" x14ac:dyDescent="0.35">
      <c r="A2" s="18" t="s">
        <v>64</v>
      </c>
      <c r="B2" s="18" t="s">
        <v>34</v>
      </c>
      <c r="C2" s="18"/>
      <c r="D2" s="18" t="s">
        <v>92</v>
      </c>
      <c r="E2" s="18" t="s">
        <v>34</v>
      </c>
      <c r="F2" s="18" t="s">
        <v>65</v>
      </c>
      <c r="G2" s="18">
        <v>1.2</v>
      </c>
      <c r="H2" s="18"/>
      <c r="I2" s="18"/>
      <c r="J2" s="4"/>
      <c r="K2" s="8">
        <f>SUM(G2:J2)*L2</f>
        <v>9960.8723057454536</v>
      </c>
      <c r="L2" s="8">
        <f>IFERROR(VLOOKUP($B2,Tecnicos!$E$1:$M$26,9,0)*G2,)</f>
        <v>8300.7269214545449</v>
      </c>
      <c r="M2" s="8">
        <f>IFERROR(VLOOKUP($B2,Tecnicos!$E$1:$M$26,9,0)*H2,)</f>
        <v>0</v>
      </c>
      <c r="N2" s="8">
        <f>IFERROR(VLOOKUP($B2,Tecnicos!$E$1:$M$26,9,0)*I2,)</f>
        <v>0</v>
      </c>
      <c r="O2" s="8">
        <f>IFERROR(VLOOKUP($B2,Tecnicos!$E$1:$M$26,9,0)*J2,)</f>
        <v>0</v>
      </c>
    </row>
    <row r="3" spans="1:15" x14ac:dyDescent="0.35">
      <c r="A3" s="18" t="s">
        <v>66</v>
      </c>
      <c r="B3" s="18" t="s">
        <v>37</v>
      </c>
      <c r="C3" s="18"/>
      <c r="D3" s="18" t="s">
        <v>92</v>
      </c>
      <c r="E3" s="18" t="s">
        <v>37</v>
      </c>
      <c r="F3" s="18" t="s">
        <v>65</v>
      </c>
      <c r="G3" s="18">
        <v>2.75</v>
      </c>
      <c r="H3" s="18"/>
      <c r="I3" s="18"/>
      <c r="J3" s="4"/>
      <c r="K3" s="8">
        <f t="shared" ref="K3:K12" si="0">SUM(G3:J3)*L3</f>
        <v>20590.018295000002</v>
      </c>
      <c r="L3" s="8">
        <f>IFERROR(VLOOKUP($B3,Tecnicos!$E$1:$M$26,9,0)*G3,)</f>
        <v>7487.2793799999999</v>
      </c>
      <c r="M3" s="8">
        <f>IFERROR(VLOOKUP($B3,Tecnicos!$E$1:$M$26,9,0)*H3,)</f>
        <v>0</v>
      </c>
      <c r="N3" s="8">
        <f>IFERROR(VLOOKUP($B3,Tecnicos!$E$1:$M$26,9,0)*I3,)</f>
        <v>0</v>
      </c>
      <c r="O3" s="8">
        <f>IFERROR(VLOOKUP($B3,Tecnicos!$E$1:$M$26,9,0)*J3,)</f>
        <v>0</v>
      </c>
    </row>
    <row r="4" spans="1:15" x14ac:dyDescent="0.35">
      <c r="A4" s="18" t="s">
        <v>67</v>
      </c>
      <c r="B4" s="18" t="s">
        <v>38</v>
      </c>
      <c r="C4" s="18"/>
      <c r="D4" s="18" t="s">
        <v>92</v>
      </c>
      <c r="E4" s="18" t="s">
        <v>38</v>
      </c>
      <c r="F4" s="18" t="s">
        <v>65</v>
      </c>
      <c r="G4" s="18">
        <v>1.2</v>
      </c>
      <c r="H4" s="18"/>
      <c r="I4" s="18"/>
      <c r="J4" s="4"/>
      <c r="K4" s="8">
        <f t="shared" si="0"/>
        <v>4249.8995616000002</v>
      </c>
      <c r="L4" s="8">
        <f>IFERROR(VLOOKUP($B4,Tecnicos!$E$1:$M$26,9,0)*G4,)</f>
        <v>3541.5829680000002</v>
      </c>
      <c r="M4" s="8">
        <f>IFERROR(VLOOKUP($B4,Tecnicos!$E$1:$M$26,9,0)*H4,)</f>
        <v>0</v>
      </c>
      <c r="N4" s="8">
        <f>IFERROR(VLOOKUP($B4,Tecnicos!$E$1:$M$26,9,0)*I4,)</f>
        <v>0</v>
      </c>
      <c r="O4" s="8">
        <f>IFERROR(VLOOKUP($B4,Tecnicos!$E$1:$M$26,9,0)*J4,)</f>
        <v>0</v>
      </c>
    </row>
    <row r="5" spans="1:15" x14ac:dyDescent="0.35">
      <c r="A5" s="18" t="s">
        <v>68</v>
      </c>
      <c r="B5" s="18" t="s">
        <v>39</v>
      </c>
      <c r="C5" s="18"/>
      <c r="D5" s="18" t="s">
        <v>92</v>
      </c>
      <c r="E5" s="18" t="s">
        <v>39</v>
      </c>
      <c r="F5" s="18" t="s">
        <v>65</v>
      </c>
      <c r="G5" s="18">
        <v>1.2</v>
      </c>
      <c r="H5" s="18"/>
      <c r="I5" s="18"/>
      <c r="J5" s="4"/>
      <c r="K5" s="8">
        <f t="shared" si="0"/>
        <v>9032.9221675636363</v>
      </c>
      <c r="L5" s="8">
        <f>IFERROR(VLOOKUP($B5,Tecnicos!$E$1:$M$26,9,0)*G5,)</f>
        <v>7527.4351396363636</v>
      </c>
      <c r="M5" s="8">
        <f>IFERROR(VLOOKUP($B5,Tecnicos!$E$1:$M$26,9,0)*H5,)</f>
        <v>0</v>
      </c>
      <c r="N5" s="8">
        <f>IFERROR(VLOOKUP($B5,Tecnicos!$E$1:$M$26,9,0)*I5,)</f>
        <v>0</v>
      </c>
      <c r="O5" s="8">
        <f>IFERROR(VLOOKUP($B5,Tecnicos!$E$1:$M$26,9,0)*J5,)</f>
        <v>0</v>
      </c>
    </row>
    <row r="6" spans="1:15" x14ac:dyDescent="0.35">
      <c r="A6" s="18" t="s">
        <v>69</v>
      </c>
      <c r="B6" s="18" t="s">
        <v>40</v>
      </c>
      <c r="C6" s="18"/>
      <c r="D6" s="18" t="s">
        <v>92</v>
      </c>
      <c r="E6" s="18" t="s">
        <v>40</v>
      </c>
      <c r="F6" s="18" t="s">
        <v>65</v>
      </c>
      <c r="G6" s="18">
        <v>1.2</v>
      </c>
      <c r="H6" s="18"/>
      <c r="I6" s="18"/>
      <c r="J6" s="4"/>
      <c r="K6" s="8">
        <f t="shared" si="0"/>
        <v>7605.4703668363636</v>
      </c>
      <c r="L6" s="8">
        <f>IFERROR(VLOOKUP($B6,Tecnicos!$E$1:$M$26,9,0)*G6,)</f>
        <v>6337.8919723636363</v>
      </c>
      <c r="M6" s="8">
        <f>IFERROR(VLOOKUP($B6,Tecnicos!$E$1:$M$26,9,0)*H6,)</f>
        <v>0</v>
      </c>
      <c r="N6" s="8">
        <f>IFERROR(VLOOKUP($B6,Tecnicos!$E$1:$M$26,9,0)*I6,)</f>
        <v>0</v>
      </c>
      <c r="O6" s="8">
        <f>IFERROR(VLOOKUP($B6,Tecnicos!$E$1:$M$26,9,0)*J6,)</f>
        <v>0</v>
      </c>
    </row>
    <row r="7" spans="1:15" x14ac:dyDescent="0.35">
      <c r="A7" s="18" t="s">
        <v>70</v>
      </c>
      <c r="B7" s="18" t="s">
        <v>43</v>
      </c>
      <c r="C7" s="18"/>
      <c r="D7" s="18" t="s">
        <v>92</v>
      </c>
      <c r="E7" s="18" t="s">
        <v>43</v>
      </c>
      <c r="F7" s="18" t="s">
        <v>65</v>
      </c>
      <c r="G7" s="18">
        <v>1.2</v>
      </c>
      <c r="H7" s="18"/>
      <c r="I7" s="18"/>
      <c r="J7" s="4"/>
      <c r="K7" s="8">
        <f t="shared" si="0"/>
        <v>9044.1517090909092</v>
      </c>
      <c r="L7" s="8">
        <f>IFERROR(VLOOKUP($B7,Tecnicos!$E$1:$M$26,9,0)*G7,)</f>
        <v>7536.793090909091</v>
      </c>
      <c r="M7" s="8">
        <f>IFERROR(VLOOKUP($B7,Tecnicos!$E$1:$M$26,9,0)*H7,)</f>
        <v>0</v>
      </c>
      <c r="N7" s="8">
        <f>IFERROR(VLOOKUP($B7,Tecnicos!$E$1:$M$26,9,0)*I7,)</f>
        <v>0</v>
      </c>
      <c r="O7" s="8">
        <f>IFERROR(VLOOKUP($B7,Tecnicos!$E$1:$M$26,9,0)*J7,)</f>
        <v>0</v>
      </c>
    </row>
    <row r="8" spans="1:15" x14ac:dyDescent="0.35">
      <c r="A8" s="18" t="s">
        <v>71</v>
      </c>
      <c r="B8" s="18" t="s">
        <v>45</v>
      </c>
      <c r="C8" s="18"/>
      <c r="D8" s="18" t="s">
        <v>92</v>
      </c>
      <c r="E8" s="18" t="s">
        <v>45</v>
      </c>
      <c r="F8" s="18" t="s">
        <v>65</v>
      </c>
      <c r="G8" s="18">
        <v>1.2</v>
      </c>
      <c r="H8" s="18"/>
      <c r="I8" s="18"/>
      <c r="J8" s="4"/>
      <c r="K8" s="8">
        <f t="shared" si="0"/>
        <v>9455.4532799999997</v>
      </c>
      <c r="L8" s="8">
        <f>IFERROR(VLOOKUP($B8,Tecnicos!$E$1:$M$26,9,0)*G8,)</f>
        <v>7879.5443999999998</v>
      </c>
      <c r="M8" s="8">
        <f>IFERROR(VLOOKUP($B8,Tecnicos!$E$1:$M$26,9,0)*H8,)</f>
        <v>0</v>
      </c>
      <c r="N8" s="8">
        <f>IFERROR(VLOOKUP($B8,Tecnicos!$E$1:$M$26,9,0)*I8,)</f>
        <v>0</v>
      </c>
      <c r="O8" s="8">
        <f>IFERROR(VLOOKUP($B8,Tecnicos!$E$1:$M$26,9,0)*J8,)</f>
        <v>0</v>
      </c>
    </row>
    <row r="9" spans="1:15" x14ac:dyDescent="0.35">
      <c r="A9" s="18" t="s">
        <v>72</v>
      </c>
      <c r="B9" s="18" t="s">
        <v>46</v>
      </c>
      <c r="C9" s="18"/>
      <c r="D9" s="18" t="s">
        <v>92</v>
      </c>
      <c r="E9" s="18" t="s">
        <v>46</v>
      </c>
      <c r="F9" s="18" t="s">
        <v>65</v>
      </c>
      <c r="G9" s="18">
        <v>2.75</v>
      </c>
      <c r="H9" s="18"/>
      <c r="I9" s="18"/>
      <c r="J9" s="4"/>
      <c r="K9" s="8">
        <f t="shared" si="0"/>
        <v>26246.046268750008</v>
      </c>
      <c r="L9" s="8">
        <f>IFERROR(VLOOKUP($B9,Tecnicos!$E$1:$M$26,9,0)*G9,)</f>
        <v>9544.0168250000024</v>
      </c>
      <c r="M9" s="8">
        <f>IFERROR(VLOOKUP($B9,Tecnicos!$E$1:$M$26,9,0)*H9,)</f>
        <v>0</v>
      </c>
      <c r="N9" s="8">
        <f>IFERROR(VLOOKUP($B9,Tecnicos!$E$1:$M$26,9,0)*I9,)</f>
        <v>0</v>
      </c>
      <c r="O9" s="8">
        <f>IFERROR(VLOOKUP($B9,Tecnicos!$E$1:$M$26,9,0)*J9,)</f>
        <v>0</v>
      </c>
    </row>
    <row r="10" spans="1:15" x14ac:dyDescent="0.35">
      <c r="A10" s="18" t="s">
        <v>73</v>
      </c>
      <c r="B10" s="18" t="s">
        <v>47</v>
      </c>
      <c r="C10" s="18"/>
      <c r="D10" s="18" t="s">
        <v>92</v>
      </c>
      <c r="E10" s="18" t="s">
        <v>47</v>
      </c>
      <c r="F10" s="18" t="s">
        <v>65</v>
      </c>
      <c r="G10" s="18">
        <v>2.75</v>
      </c>
      <c r="H10" s="18"/>
      <c r="I10" s="18"/>
      <c r="J10" s="4"/>
      <c r="K10" s="8">
        <f t="shared" si="0"/>
        <v>21188.475000000002</v>
      </c>
      <c r="L10" s="8">
        <f>IFERROR(VLOOKUP($B10,Tecnicos!$E$1:$M$26,9,0)*G10,)</f>
        <v>7704.9000000000005</v>
      </c>
      <c r="M10" s="8">
        <f>IFERROR(VLOOKUP($B10,Tecnicos!$E$1:$M$26,9,0)*H10,)</f>
        <v>0</v>
      </c>
      <c r="N10" s="8">
        <f>IFERROR(VLOOKUP($B10,Tecnicos!$E$1:$M$26,9,0)*I10,)</f>
        <v>0</v>
      </c>
      <c r="O10" s="8">
        <f>IFERROR(VLOOKUP($B10,Tecnicos!$E$1:$M$26,9,0)*J10,)</f>
        <v>0</v>
      </c>
    </row>
    <row r="11" spans="1:15" x14ac:dyDescent="0.35">
      <c r="A11" s="18" t="s">
        <v>74</v>
      </c>
      <c r="B11" s="18" t="s">
        <v>48</v>
      </c>
      <c r="C11" s="18"/>
      <c r="D11" s="18" t="s">
        <v>92</v>
      </c>
      <c r="E11" s="18" t="s">
        <v>48</v>
      </c>
      <c r="F11" s="18" t="s">
        <v>65</v>
      </c>
      <c r="G11" s="18">
        <v>1.2</v>
      </c>
      <c r="H11" s="18"/>
      <c r="I11" s="18"/>
      <c r="J11" s="4"/>
      <c r="K11" s="8">
        <f t="shared" si="0"/>
        <v>9455.4532799999997</v>
      </c>
      <c r="L11" s="8">
        <f>IFERROR(VLOOKUP($B11,Tecnicos!$E$1:$M$26,9,0)*G11,)</f>
        <v>7879.5443999999998</v>
      </c>
      <c r="M11" s="8">
        <f>IFERROR(VLOOKUP($B11,Tecnicos!$E$1:$M$26,9,0)*H11,)</f>
        <v>0</v>
      </c>
      <c r="N11" s="8">
        <f>IFERROR(VLOOKUP($B11,Tecnicos!$E$1:$M$26,9,0)*I11,)</f>
        <v>0</v>
      </c>
      <c r="O11" s="8">
        <f>IFERROR(VLOOKUP($B11,Tecnicos!$E$1:$M$26,9,0)*J11,)</f>
        <v>0</v>
      </c>
    </row>
    <row r="12" spans="1:15" x14ac:dyDescent="0.35">
      <c r="A12" s="18" t="s">
        <v>75</v>
      </c>
      <c r="B12" s="18" t="s">
        <v>49</v>
      </c>
      <c r="C12" s="18"/>
      <c r="D12" s="18" t="s">
        <v>92</v>
      </c>
      <c r="E12" s="18" t="s">
        <v>49</v>
      </c>
      <c r="F12" s="18" t="s">
        <v>65</v>
      </c>
      <c r="G12" s="18">
        <v>1.2</v>
      </c>
      <c r="H12" s="18"/>
      <c r="I12" s="18"/>
      <c r="J12" s="4"/>
      <c r="K12" s="8">
        <f t="shared" si="0"/>
        <v>11716.558450036364</v>
      </c>
      <c r="L12" s="8">
        <f>IFERROR(VLOOKUP($B12,Tecnicos!$E$1:$M$26,9,0)*G12,)</f>
        <v>9763.7987083636363</v>
      </c>
      <c r="M12" s="8">
        <f>IFERROR(VLOOKUP($B12,Tecnicos!$E$1:$M$26,9,0)*H12,)</f>
        <v>0</v>
      </c>
      <c r="N12" s="8">
        <f>IFERROR(VLOOKUP($B12,Tecnicos!$E$1:$M$26,9,0)*I12,)</f>
        <v>0</v>
      </c>
      <c r="O12" s="8">
        <f>IFERROR(VLOOKUP($B12,Tecnicos!$E$1:$M$26,9,0)*J12,)</f>
        <v>0</v>
      </c>
    </row>
    <row r="13" spans="1:15" x14ac:dyDescent="0.35">
      <c r="A13" s="19" t="s">
        <v>64</v>
      </c>
      <c r="B13" s="19" t="s">
        <v>34</v>
      </c>
      <c r="C13" s="19"/>
      <c r="D13" s="19" t="s">
        <v>92</v>
      </c>
      <c r="E13" s="19" t="s">
        <v>34</v>
      </c>
      <c r="F13" s="19" t="s">
        <v>76</v>
      </c>
      <c r="G13" s="18">
        <v>3.8</v>
      </c>
      <c r="H13" s="18">
        <v>3.9</v>
      </c>
      <c r="I13" s="18"/>
      <c r="J13" s="4"/>
      <c r="K13" s="8">
        <f t="shared" ref="K13:K36" si="1">SUM(G13:J13)*L13</f>
        <v>202399.39143479997</v>
      </c>
      <c r="L13" s="8">
        <f>IFERROR(VLOOKUP($B13,Tecnicos!$E$1:$M$26,9,0)*G13,)</f>
        <v>26285.635251272724</v>
      </c>
      <c r="M13" s="8">
        <f>IFERROR(VLOOKUP($B13,Tecnicos!$E$1:$M$26,9,0)*H13,)</f>
        <v>26977.362494727273</v>
      </c>
      <c r="N13" s="8">
        <f>IFERROR(VLOOKUP($B13,Tecnicos!$E$1:$M$26,9,0)*I13,)</f>
        <v>0</v>
      </c>
      <c r="O13" s="8">
        <f>IFERROR(VLOOKUP($B13,Tecnicos!$E$1:$M$26,9,0)*J13,)</f>
        <v>0</v>
      </c>
    </row>
    <row r="14" spans="1:15" x14ac:dyDescent="0.35">
      <c r="A14" s="19" t="s">
        <v>66</v>
      </c>
      <c r="B14" s="19" t="s">
        <v>37</v>
      </c>
      <c r="C14" s="19"/>
      <c r="D14" s="19" t="s">
        <v>92</v>
      </c>
      <c r="E14" s="19" t="s">
        <v>37</v>
      </c>
      <c r="F14" s="19" t="s">
        <v>76</v>
      </c>
      <c r="G14" s="18">
        <v>5.25</v>
      </c>
      <c r="H14" s="18">
        <v>6</v>
      </c>
      <c r="I14" s="18"/>
      <c r="J14" s="4"/>
      <c r="K14" s="8">
        <f t="shared" si="1"/>
        <v>160806.34122954548</v>
      </c>
      <c r="L14" s="8">
        <f>IFERROR(VLOOKUP($B14,Tecnicos!$E$1:$M$26,9,0)*G14,)</f>
        <v>14293.896998181819</v>
      </c>
      <c r="M14" s="8">
        <f>IFERROR(VLOOKUP($B14,Tecnicos!$E$1:$M$26,9,0)*H14,)</f>
        <v>16335.882283636365</v>
      </c>
      <c r="N14" s="8">
        <f>IFERROR(VLOOKUP($B14,Tecnicos!$E$1:$M$26,9,0)*I14,)</f>
        <v>0</v>
      </c>
      <c r="O14" s="8">
        <f>IFERROR(VLOOKUP($B14,Tecnicos!$E$1:$M$26,9,0)*J14,)</f>
        <v>0</v>
      </c>
    </row>
    <row r="15" spans="1:15" x14ac:dyDescent="0.35">
      <c r="A15" s="19" t="s">
        <v>67</v>
      </c>
      <c r="B15" s="19" t="s">
        <v>38</v>
      </c>
      <c r="C15" s="19"/>
      <c r="D15" s="19" t="s">
        <v>92</v>
      </c>
      <c r="E15" s="19" t="s">
        <v>38</v>
      </c>
      <c r="F15" s="19" t="s">
        <v>76</v>
      </c>
      <c r="G15" s="18">
        <v>3.8</v>
      </c>
      <c r="H15" s="18">
        <v>3.9</v>
      </c>
      <c r="I15" s="18"/>
      <c r="J15" s="4"/>
      <c r="K15" s="8">
        <f t="shared" si="1"/>
        <v>86355.598036399984</v>
      </c>
      <c r="L15" s="8">
        <f>IFERROR(VLOOKUP($B15,Tecnicos!$E$1:$M$26,9,0)*G15,)</f>
        <v>11215.012731999999</v>
      </c>
      <c r="M15" s="8">
        <f>IFERROR(VLOOKUP($B15,Tecnicos!$E$1:$M$26,9,0)*H15,)</f>
        <v>11510.144646000001</v>
      </c>
      <c r="N15" s="8">
        <f>IFERROR(VLOOKUP($B15,Tecnicos!$E$1:$M$26,9,0)*I15,)</f>
        <v>0</v>
      </c>
      <c r="O15" s="8">
        <f>IFERROR(VLOOKUP($B15,Tecnicos!$E$1:$M$26,9,0)*J15,)</f>
        <v>0</v>
      </c>
    </row>
    <row r="16" spans="1:15" x14ac:dyDescent="0.35">
      <c r="A16" s="19" t="s">
        <v>68</v>
      </c>
      <c r="B16" s="19" t="s">
        <v>39</v>
      </c>
      <c r="C16" s="19"/>
      <c r="D16" s="19" t="s">
        <v>92</v>
      </c>
      <c r="E16" s="19" t="s">
        <v>39</v>
      </c>
      <c r="F16" s="19" t="s">
        <v>76</v>
      </c>
      <c r="G16" s="18">
        <v>3.8</v>
      </c>
      <c r="H16" s="18">
        <v>3.9</v>
      </c>
      <c r="I16" s="18"/>
      <c r="J16" s="4"/>
      <c r="K16" s="8">
        <f t="shared" si="1"/>
        <v>183543.96015479998</v>
      </c>
      <c r="L16" s="8">
        <f>IFERROR(VLOOKUP($B16,Tecnicos!$E$1:$M$26,9,0)*G16,)</f>
        <v>23836.877942181818</v>
      </c>
      <c r="M16" s="8">
        <f>IFERROR(VLOOKUP($B16,Tecnicos!$E$1:$M$26,9,0)*H16,)</f>
        <v>24464.164203818182</v>
      </c>
      <c r="N16" s="8">
        <f>IFERROR(VLOOKUP($B16,Tecnicos!$E$1:$M$26,9,0)*I16,)</f>
        <v>0</v>
      </c>
      <c r="O16" s="8">
        <f>IFERROR(VLOOKUP($B16,Tecnicos!$E$1:$M$26,9,0)*J16,)</f>
        <v>0</v>
      </c>
    </row>
    <row r="17" spans="1:15" x14ac:dyDescent="0.35">
      <c r="A17" s="19" t="s">
        <v>69</v>
      </c>
      <c r="B17" s="19" t="s">
        <v>40</v>
      </c>
      <c r="C17" s="19"/>
      <c r="D17" s="19" t="s">
        <v>92</v>
      </c>
      <c r="E17" s="19" t="s">
        <v>40</v>
      </c>
      <c r="F17" s="19" t="s">
        <v>76</v>
      </c>
      <c r="G17" s="18">
        <v>1.8</v>
      </c>
      <c r="H17" s="18">
        <v>1.8</v>
      </c>
      <c r="I17" s="18"/>
      <c r="J17" s="4"/>
      <c r="K17" s="8">
        <f t="shared" si="1"/>
        <v>34224.616650763637</v>
      </c>
      <c r="L17" s="8">
        <f>IFERROR(VLOOKUP($B17,Tecnicos!$E$1:$M$26,9,0)*G17,)</f>
        <v>9506.837958545455</v>
      </c>
      <c r="M17" s="8">
        <f>IFERROR(VLOOKUP($B17,Tecnicos!$E$1:$M$26,9,0)*H17,)</f>
        <v>9506.837958545455</v>
      </c>
      <c r="N17" s="8">
        <f>IFERROR(VLOOKUP($B17,Tecnicos!$E$1:$M$26,9,0)*I17,)</f>
        <v>0</v>
      </c>
      <c r="O17" s="8">
        <f>IFERROR(VLOOKUP($B17,Tecnicos!$E$1:$M$26,9,0)*J17,)</f>
        <v>0</v>
      </c>
    </row>
    <row r="18" spans="1:15" x14ac:dyDescent="0.35">
      <c r="A18" s="19" t="s">
        <v>70</v>
      </c>
      <c r="B18" s="19" t="s">
        <v>43</v>
      </c>
      <c r="C18" s="19"/>
      <c r="D18" s="19" t="s">
        <v>92</v>
      </c>
      <c r="E18" s="19" t="s">
        <v>43</v>
      </c>
      <c r="F18" s="19" t="s">
        <v>76</v>
      </c>
      <c r="G18" s="18">
        <v>1.8</v>
      </c>
      <c r="H18" s="18">
        <v>1.8</v>
      </c>
      <c r="I18" s="18"/>
      <c r="J18" s="4"/>
      <c r="K18" s="8">
        <f t="shared" si="1"/>
        <v>40698.682690909096</v>
      </c>
      <c r="L18" s="8">
        <f>IFERROR(VLOOKUP($B18,Tecnicos!$E$1:$M$26,9,0)*G18,)</f>
        <v>11305.189636363637</v>
      </c>
      <c r="M18" s="8">
        <f>IFERROR(VLOOKUP($B18,Tecnicos!$E$1:$M$26,9,0)*H18,)</f>
        <v>11305.189636363637</v>
      </c>
      <c r="N18" s="8">
        <f>IFERROR(VLOOKUP($B18,Tecnicos!$E$1:$M$26,9,0)*I18,)</f>
        <v>0</v>
      </c>
      <c r="O18" s="8">
        <f>IFERROR(VLOOKUP($B18,Tecnicos!$E$1:$M$26,9,0)*J18,)</f>
        <v>0</v>
      </c>
    </row>
    <row r="19" spans="1:15" x14ac:dyDescent="0.35">
      <c r="A19" s="19" t="s">
        <v>71</v>
      </c>
      <c r="B19" s="19" t="s">
        <v>45</v>
      </c>
      <c r="C19" s="19"/>
      <c r="D19" s="19" t="s">
        <v>92</v>
      </c>
      <c r="E19" s="19" t="s">
        <v>45</v>
      </c>
      <c r="F19" s="19" t="s">
        <v>76</v>
      </c>
      <c r="G19" s="18">
        <v>2.8</v>
      </c>
      <c r="H19" s="18">
        <v>2.8</v>
      </c>
      <c r="I19" s="18"/>
      <c r="J19" s="4"/>
      <c r="K19" s="8">
        <f t="shared" si="1"/>
        <v>102959.38015999999</v>
      </c>
      <c r="L19" s="8">
        <f>IFERROR(VLOOKUP($B19,Tecnicos!$E$1:$M$26,9,0)*G19,)</f>
        <v>18385.603599999999</v>
      </c>
      <c r="M19" s="8">
        <f>IFERROR(VLOOKUP($B19,Tecnicos!$E$1:$M$26,9,0)*H19,)</f>
        <v>18385.603599999999</v>
      </c>
      <c r="N19" s="8">
        <f>IFERROR(VLOOKUP($B19,Tecnicos!$E$1:$M$26,9,0)*I19,)</f>
        <v>0</v>
      </c>
      <c r="O19" s="8">
        <f>IFERROR(VLOOKUP($B19,Tecnicos!$E$1:$M$26,9,0)*J19,)</f>
        <v>0</v>
      </c>
    </row>
    <row r="20" spans="1:15" x14ac:dyDescent="0.35">
      <c r="A20" s="19" t="s">
        <v>72</v>
      </c>
      <c r="B20" s="19" t="s">
        <v>46</v>
      </c>
      <c r="C20" s="19"/>
      <c r="D20" s="19" t="s">
        <v>92</v>
      </c>
      <c r="E20" s="19" t="s">
        <v>46</v>
      </c>
      <c r="F20" s="19" t="s">
        <v>76</v>
      </c>
      <c r="G20" s="18">
        <v>5.25</v>
      </c>
      <c r="H20" s="18">
        <v>6</v>
      </c>
      <c r="I20" s="18"/>
      <c r="J20" s="4"/>
      <c r="K20" s="8">
        <f t="shared" si="1"/>
        <v>204979.45226420459</v>
      </c>
      <c r="L20" s="8">
        <f>IFERROR(VLOOKUP($B20,Tecnicos!$E$1:$M$26,9,0)*G20,)</f>
        <v>18220.395756818187</v>
      </c>
      <c r="M20" s="8">
        <f>IFERROR(VLOOKUP($B20,Tecnicos!$E$1:$M$26,9,0)*H20,)</f>
        <v>20823.309436363641</v>
      </c>
      <c r="N20" s="8">
        <f>IFERROR(VLOOKUP($B20,Tecnicos!$E$1:$M$26,9,0)*I20,)</f>
        <v>0</v>
      </c>
      <c r="O20" s="8">
        <f>IFERROR(VLOOKUP($B20,Tecnicos!$E$1:$M$26,9,0)*J20,)</f>
        <v>0</v>
      </c>
    </row>
    <row r="21" spans="1:15" x14ac:dyDescent="0.35">
      <c r="A21" s="19" t="s">
        <v>73</v>
      </c>
      <c r="B21" s="19" t="s">
        <v>47</v>
      </c>
      <c r="C21" s="19"/>
      <c r="D21" s="19" t="s">
        <v>92</v>
      </c>
      <c r="E21" s="19" t="s">
        <v>47</v>
      </c>
      <c r="F21" s="19" t="s">
        <v>76</v>
      </c>
      <c r="G21" s="18">
        <v>5.25</v>
      </c>
      <c r="H21" s="18">
        <v>6</v>
      </c>
      <c r="I21" s="18"/>
      <c r="J21" s="4"/>
      <c r="K21" s="8">
        <f t="shared" si="1"/>
        <v>165480.23863636365</v>
      </c>
      <c r="L21" s="8">
        <f>IFERROR(VLOOKUP($B21,Tecnicos!$E$1:$M$26,9,0)*G21,)</f>
        <v>14709.354545454546</v>
      </c>
      <c r="M21" s="8">
        <f>IFERROR(VLOOKUP($B21,Tecnicos!$E$1:$M$26,9,0)*H21,)</f>
        <v>16810.69090909091</v>
      </c>
      <c r="N21" s="8">
        <f>IFERROR(VLOOKUP($B21,Tecnicos!$E$1:$M$26,9,0)*I21,)</f>
        <v>0</v>
      </c>
      <c r="O21" s="8">
        <f>IFERROR(VLOOKUP($B21,Tecnicos!$E$1:$M$26,9,0)*J21,)</f>
        <v>0</v>
      </c>
    </row>
    <row r="22" spans="1:15" x14ac:dyDescent="0.35">
      <c r="A22" s="19" t="s">
        <v>74</v>
      </c>
      <c r="B22" s="19" t="s">
        <v>48</v>
      </c>
      <c r="C22" s="19"/>
      <c r="D22" s="19" t="s">
        <v>92</v>
      </c>
      <c r="E22" s="19" t="s">
        <v>48</v>
      </c>
      <c r="F22" s="19" t="s">
        <v>76</v>
      </c>
      <c r="G22" s="18">
        <v>2.8</v>
      </c>
      <c r="H22" s="18">
        <v>2.8</v>
      </c>
      <c r="I22" s="18"/>
      <c r="J22" s="4"/>
      <c r="K22" s="8">
        <f t="shared" si="1"/>
        <v>102959.38015999999</v>
      </c>
      <c r="L22" s="8">
        <f>IFERROR(VLOOKUP($B22,Tecnicos!$E$1:$M$26,9,0)*G22,)</f>
        <v>18385.603599999999</v>
      </c>
      <c r="M22" s="8">
        <f>IFERROR(VLOOKUP($B22,Tecnicos!$E$1:$M$26,9,0)*H22,)</f>
        <v>18385.603599999999</v>
      </c>
      <c r="N22" s="8">
        <f>IFERROR(VLOOKUP($B22,Tecnicos!$E$1:$M$26,9,0)*I22,)</f>
        <v>0</v>
      </c>
      <c r="O22" s="8">
        <f>IFERROR(VLOOKUP($B22,Tecnicos!$E$1:$M$26,9,0)*J22,)</f>
        <v>0</v>
      </c>
    </row>
    <row r="23" spans="1:15" x14ac:dyDescent="0.35">
      <c r="A23" s="19" t="s">
        <v>75</v>
      </c>
      <c r="B23" s="19" t="s">
        <v>49</v>
      </c>
      <c r="C23" s="19"/>
      <c r="D23" s="19" t="s">
        <v>92</v>
      </c>
      <c r="E23" s="19" t="s">
        <v>49</v>
      </c>
      <c r="F23" s="19" t="s">
        <v>76</v>
      </c>
      <c r="G23" s="18">
        <v>1.8</v>
      </c>
      <c r="H23" s="18">
        <v>1.8</v>
      </c>
      <c r="I23" s="18"/>
      <c r="J23" s="4"/>
      <c r="K23" s="8">
        <f t="shared" si="1"/>
        <v>52724.513025163644</v>
      </c>
      <c r="L23" s="8">
        <f>IFERROR(VLOOKUP($B23,Tecnicos!$E$1:$M$26,9,0)*G23,)</f>
        <v>14645.698062545456</v>
      </c>
      <c r="M23" s="8">
        <f>IFERROR(VLOOKUP($B23,Tecnicos!$E$1:$M$26,9,0)*H23,)</f>
        <v>14645.698062545456</v>
      </c>
      <c r="N23" s="8">
        <f>IFERROR(VLOOKUP($B23,Tecnicos!$E$1:$M$26,9,0)*I23,)</f>
        <v>0</v>
      </c>
      <c r="O23" s="8">
        <f>IFERROR(VLOOKUP($B23,Tecnicos!$E$1:$M$26,9,0)*J23,)</f>
        <v>0</v>
      </c>
    </row>
    <row r="24" spans="1:15" x14ac:dyDescent="0.35">
      <c r="A24" s="18" t="s">
        <v>64</v>
      </c>
      <c r="B24" s="18" t="s">
        <v>34</v>
      </c>
      <c r="C24" s="18"/>
      <c r="D24" s="18" t="s">
        <v>92</v>
      </c>
      <c r="E24" s="18" t="s">
        <v>34</v>
      </c>
      <c r="F24" s="18" t="s">
        <v>77</v>
      </c>
      <c r="G24" s="18"/>
      <c r="H24" s="18">
        <v>1.1000000000000001</v>
      </c>
      <c r="I24" s="18">
        <v>1.95</v>
      </c>
      <c r="J24" s="4"/>
      <c r="K24" s="8">
        <f t="shared" si="1"/>
        <v>0</v>
      </c>
      <c r="L24" s="8">
        <f>IFERROR(VLOOKUP($B24,Tecnicos!$E$1:$M$26,9,0)*G24,)</f>
        <v>0</v>
      </c>
      <c r="M24" s="8">
        <f>IFERROR(VLOOKUP($B24,Tecnicos!$E$1:$M$26,9,0)*H24,)</f>
        <v>7608.9996780000001</v>
      </c>
      <c r="N24" s="8">
        <f>IFERROR(VLOOKUP($B24,Tecnicos!$E$1:$M$26,9,0)*I24,)</f>
        <v>13488.681247363636</v>
      </c>
      <c r="O24" s="8">
        <f>IFERROR(VLOOKUP($B24,Tecnicos!$E$1:$M$26,9,0)*J24,)</f>
        <v>0</v>
      </c>
    </row>
    <row r="25" spans="1:15" x14ac:dyDescent="0.35">
      <c r="A25" s="18" t="s">
        <v>66</v>
      </c>
      <c r="B25" s="18" t="s">
        <v>37</v>
      </c>
      <c r="C25" s="18"/>
      <c r="D25" s="18" t="s">
        <v>92</v>
      </c>
      <c r="E25" s="18" t="s">
        <v>37</v>
      </c>
      <c r="F25" s="18" t="s">
        <v>77</v>
      </c>
      <c r="G25" s="18"/>
      <c r="H25" s="18">
        <v>2</v>
      </c>
      <c r="I25" s="18">
        <v>3</v>
      </c>
      <c r="J25" s="4"/>
      <c r="K25" s="8">
        <f t="shared" si="1"/>
        <v>0</v>
      </c>
      <c r="L25" s="8">
        <f>IFERROR(VLOOKUP($B25,Tecnicos!$E$1:$M$26,9,0)*G25,)</f>
        <v>0</v>
      </c>
      <c r="M25" s="8">
        <f>IFERROR(VLOOKUP($B25,Tecnicos!$E$1:$M$26,9,0)*H25,)</f>
        <v>5445.2940945454548</v>
      </c>
      <c r="N25" s="8">
        <f>IFERROR(VLOOKUP($B25,Tecnicos!$E$1:$M$26,9,0)*I25,)</f>
        <v>8167.9411418181826</v>
      </c>
      <c r="O25" s="8">
        <f>IFERROR(VLOOKUP($B25,Tecnicos!$E$1:$M$26,9,0)*J25,)</f>
        <v>0</v>
      </c>
    </row>
    <row r="26" spans="1:15" x14ac:dyDescent="0.35">
      <c r="A26" s="18" t="s">
        <v>67</v>
      </c>
      <c r="B26" s="18" t="s">
        <v>38</v>
      </c>
      <c r="C26" s="18"/>
      <c r="D26" s="18" t="s">
        <v>92</v>
      </c>
      <c r="E26" s="18" t="s">
        <v>38</v>
      </c>
      <c r="F26" s="18" t="s">
        <v>77</v>
      </c>
      <c r="G26" s="18"/>
      <c r="H26" s="18">
        <v>1.1000000000000001</v>
      </c>
      <c r="I26" s="18">
        <v>1.95</v>
      </c>
      <c r="J26" s="4"/>
      <c r="K26" s="8">
        <f t="shared" si="1"/>
        <v>0</v>
      </c>
      <c r="L26" s="8">
        <f>IFERROR(VLOOKUP($B26,Tecnicos!$E$1:$M$26,9,0)*G26,)</f>
        <v>0</v>
      </c>
      <c r="M26" s="8">
        <f>IFERROR(VLOOKUP($B26,Tecnicos!$E$1:$M$26,9,0)*H26,)</f>
        <v>3246.4510540000001</v>
      </c>
      <c r="N26" s="8">
        <f>IFERROR(VLOOKUP($B26,Tecnicos!$E$1:$M$26,9,0)*I26,)</f>
        <v>5755.0723230000003</v>
      </c>
      <c r="O26" s="8">
        <f>IFERROR(VLOOKUP($B26,Tecnicos!$E$1:$M$26,9,0)*J26,)</f>
        <v>0</v>
      </c>
    </row>
    <row r="27" spans="1:15" x14ac:dyDescent="0.35">
      <c r="A27" s="18" t="s">
        <v>68</v>
      </c>
      <c r="B27" s="18" t="s">
        <v>39</v>
      </c>
      <c r="C27" s="18"/>
      <c r="D27" s="18" t="s">
        <v>92</v>
      </c>
      <c r="E27" s="18" t="s">
        <v>39</v>
      </c>
      <c r="F27" s="18" t="s">
        <v>77</v>
      </c>
      <c r="G27" s="18"/>
      <c r="H27" s="18">
        <v>1.1000000000000001</v>
      </c>
      <c r="I27" s="18">
        <v>1.95</v>
      </c>
      <c r="J27" s="4"/>
      <c r="K27" s="8">
        <f t="shared" si="1"/>
        <v>0</v>
      </c>
      <c r="L27" s="8">
        <f>IFERROR(VLOOKUP($B27,Tecnicos!$E$1:$M$26,9,0)*G27,)</f>
        <v>0</v>
      </c>
      <c r="M27" s="8">
        <f>IFERROR(VLOOKUP($B27,Tecnicos!$E$1:$M$26,9,0)*H27,)</f>
        <v>6900.1488780000009</v>
      </c>
      <c r="N27" s="8">
        <f>IFERROR(VLOOKUP($B27,Tecnicos!$E$1:$M$26,9,0)*I27,)</f>
        <v>12232.082101909091</v>
      </c>
      <c r="O27" s="8">
        <f>IFERROR(VLOOKUP($B27,Tecnicos!$E$1:$M$26,9,0)*J27,)</f>
        <v>0</v>
      </c>
    </row>
    <row r="28" spans="1:15" x14ac:dyDescent="0.35">
      <c r="A28" s="18" t="s">
        <v>69</v>
      </c>
      <c r="B28" s="18" t="s">
        <v>40</v>
      </c>
      <c r="C28" s="18"/>
      <c r="D28" s="18" t="s">
        <v>92</v>
      </c>
      <c r="E28" s="18" t="s">
        <v>40</v>
      </c>
      <c r="F28" s="18" t="s">
        <v>77</v>
      </c>
      <c r="G28" s="18"/>
      <c r="H28" s="18">
        <v>1</v>
      </c>
      <c r="I28" s="18">
        <v>0.5</v>
      </c>
      <c r="J28" s="4"/>
      <c r="K28" s="8">
        <f t="shared" si="1"/>
        <v>0</v>
      </c>
      <c r="L28" s="8">
        <f>IFERROR(VLOOKUP($B28,Tecnicos!$E$1:$M$26,9,0)*G28,)</f>
        <v>0</v>
      </c>
      <c r="M28" s="8">
        <f>IFERROR(VLOOKUP($B28,Tecnicos!$E$1:$M$26,9,0)*H28,)</f>
        <v>5281.5766436363638</v>
      </c>
      <c r="N28" s="8">
        <f>IFERROR(VLOOKUP($B28,Tecnicos!$E$1:$M$26,9,0)*I28,)</f>
        <v>2640.7883218181819</v>
      </c>
      <c r="O28" s="8">
        <f>IFERROR(VLOOKUP($B28,Tecnicos!$E$1:$M$26,9,0)*J28,)</f>
        <v>0</v>
      </c>
    </row>
    <row r="29" spans="1:15" x14ac:dyDescent="0.35">
      <c r="A29" s="18" t="s">
        <v>70</v>
      </c>
      <c r="B29" s="18" t="s">
        <v>43</v>
      </c>
      <c r="C29" s="18"/>
      <c r="D29" s="18" t="s">
        <v>92</v>
      </c>
      <c r="E29" s="18" t="s">
        <v>43</v>
      </c>
      <c r="F29" s="18" t="s">
        <v>77</v>
      </c>
      <c r="G29" s="18"/>
      <c r="H29" s="18">
        <v>1.2</v>
      </c>
      <c r="I29" s="18">
        <v>0.9</v>
      </c>
      <c r="J29" s="4"/>
      <c r="K29" s="8">
        <f t="shared" si="1"/>
        <v>0</v>
      </c>
      <c r="L29" s="8">
        <f>IFERROR(VLOOKUP($B29,Tecnicos!$E$1:$M$26,9,0)*G29,)</f>
        <v>0</v>
      </c>
      <c r="M29" s="8">
        <f>IFERROR(VLOOKUP($B29,Tecnicos!$E$1:$M$26,9,0)*H29,)</f>
        <v>7536.793090909091</v>
      </c>
      <c r="N29" s="8">
        <f>IFERROR(VLOOKUP($B29,Tecnicos!$E$1:$M$26,9,0)*I29,)</f>
        <v>5652.5948181818185</v>
      </c>
      <c r="O29" s="8">
        <f>IFERROR(VLOOKUP($B29,Tecnicos!$E$1:$M$26,9,0)*J29,)</f>
        <v>0</v>
      </c>
    </row>
    <row r="30" spans="1:15" x14ac:dyDescent="0.35">
      <c r="A30" s="18" t="s">
        <v>71</v>
      </c>
      <c r="B30" s="18" t="s">
        <v>45</v>
      </c>
      <c r="C30" s="18"/>
      <c r="D30" s="18" t="s">
        <v>92</v>
      </c>
      <c r="E30" s="18" t="s">
        <v>45</v>
      </c>
      <c r="F30" s="18" t="s">
        <v>77</v>
      </c>
      <c r="G30" s="18"/>
      <c r="H30" s="18">
        <v>1</v>
      </c>
      <c r="I30" s="18">
        <v>1</v>
      </c>
      <c r="J30" s="4"/>
      <c r="K30" s="8">
        <f t="shared" si="1"/>
        <v>0</v>
      </c>
      <c r="L30" s="8">
        <f>IFERROR(VLOOKUP($B30,Tecnicos!$E$1:$M$26,9,0)*G30,)</f>
        <v>0</v>
      </c>
      <c r="M30" s="8">
        <f>IFERROR(VLOOKUP($B30,Tecnicos!$E$1:$M$26,9,0)*H30,)</f>
        <v>6566.2870000000003</v>
      </c>
      <c r="N30" s="8">
        <f>IFERROR(VLOOKUP($B30,Tecnicos!$E$1:$M$26,9,0)*I30,)</f>
        <v>6566.2870000000003</v>
      </c>
      <c r="O30" s="8">
        <f>IFERROR(VLOOKUP($B30,Tecnicos!$E$1:$M$26,9,0)*J30,)</f>
        <v>0</v>
      </c>
    </row>
    <row r="31" spans="1:15" x14ac:dyDescent="0.35">
      <c r="A31" s="18" t="s">
        <v>72</v>
      </c>
      <c r="B31" s="18" t="s">
        <v>46</v>
      </c>
      <c r="C31" s="18"/>
      <c r="D31" s="18" t="s">
        <v>92</v>
      </c>
      <c r="E31" s="18" t="s">
        <v>46</v>
      </c>
      <c r="F31" s="18" t="s">
        <v>77</v>
      </c>
      <c r="G31" s="18"/>
      <c r="H31" s="18">
        <v>2</v>
      </c>
      <c r="I31" s="18">
        <v>3</v>
      </c>
      <c r="J31" s="4"/>
      <c r="K31" s="8">
        <f t="shared" si="1"/>
        <v>0</v>
      </c>
      <c r="L31" s="8">
        <f>IFERROR(VLOOKUP($B31,Tecnicos!$E$1:$M$26,9,0)*G31,)</f>
        <v>0</v>
      </c>
      <c r="M31" s="8">
        <f>IFERROR(VLOOKUP($B31,Tecnicos!$E$1:$M$26,9,0)*H31,)</f>
        <v>6941.1031454545473</v>
      </c>
      <c r="N31" s="8">
        <f>IFERROR(VLOOKUP($B31,Tecnicos!$E$1:$M$26,9,0)*I31,)</f>
        <v>10411.65471818182</v>
      </c>
      <c r="O31" s="8">
        <f>IFERROR(VLOOKUP($B31,Tecnicos!$E$1:$M$26,9,0)*J31,)</f>
        <v>0</v>
      </c>
    </row>
    <row r="32" spans="1:15" x14ac:dyDescent="0.35">
      <c r="A32" s="18" t="s">
        <v>73</v>
      </c>
      <c r="B32" s="18" t="s">
        <v>47</v>
      </c>
      <c r="C32" s="18"/>
      <c r="D32" s="18" t="s">
        <v>92</v>
      </c>
      <c r="E32" s="18" t="s">
        <v>47</v>
      </c>
      <c r="F32" s="18" t="s">
        <v>77</v>
      </c>
      <c r="G32" s="18"/>
      <c r="H32" s="18">
        <v>2</v>
      </c>
      <c r="I32" s="18">
        <v>3</v>
      </c>
      <c r="J32" s="4"/>
      <c r="K32" s="8">
        <f t="shared" si="1"/>
        <v>0</v>
      </c>
      <c r="L32" s="8">
        <f>IFERROR(VLOOKUP($B32,Tecnicos!$E$1:$M$26,9,0)*G32,)</f>
        <v>0</v>
      </c>
      <c r="M32" s="8">
        <f>IFERROR(VLOOKUP($B32,Tecnicos!$E$1:$M$26,9,0)*H32,)</f>
        <v>5603.5636363636368</v>
      </c>
      <c r="N32" s="8">
        <f>IFERROR(VLOOKUP($B32,Tecnicos!$E$1:$M$26,9,0)*I32,)</f>
        <v>8405.3454545454551</v>
      </c>
      <c r="O32" s="8">
        <f>IFERROR(VLOOKUP($B32,Tecnicos!$E$1:$M$26,9,0)*J32,)</f>
        <v>0</v>
      </c>
    </row>
    <row r="33" spans="1:15" x14ac:dyDescent="0.35">
      <c r="A33" s="18" t="s">
        <v>74</v>
      </c>
      <c r="B33" s="18" t="s">
        <v>48</v>
      </c>
      <c r="C33" s="18"/>
      <c r="D33" s="18" t="s">
        <v>92</v>
      </c>
      <c r="E33" s="18" t="s">
        <v>48</v>
      </c>
      <c r="F33" s="18" t="s">
        <v>77</v>
      </c>
      <c r="G33" s="18"/>
      <c r="H33" s="18">
        <v>1</v>
      </c>
      <c r="I33" s="18">
        <v>1</v>
      </c>
      <c r="J33" s="4"/>
      <c r="K33" s="8">
        <f t="shared" si="1"/>
        <v>0</v>
      </c>
      <c r="L33" s="8">
        <f>IFERROR(VLOOKUP($B33,Tecnicos!$E$1:$M$26,9,0)*G33,)</f>
        <v>0</v>
      </c>
      <c r="M33" s="8">
        <f>IFERROR(VLOOKUP($B33,Tecnicos!$E$1:$M$26,9,0)*H33,)</f>
        <v>6566.2870000000003</v>
      </c>
      <c r="N33" s="8">
        <f>IFERROR(VLOOKUP($B33,Tecnicos!$E$1:$M$26,9,0)*I33,)</f>
        <v>6566.2870000000003</v>
      </c>
      <c r="O33" s="8">
        <f>IFERROR(VLOOKUP($B33,Tecnicos!$E$1:$M$26,9,0)*J33,)</f>
        <v>0</v>
      </c>
    </row>
    <row r="34" spans="1:15" x14ac:dyDescent="0.35">
      <c r="A34" s="18" t="s">
        <v>75</v>
      </c>
      <c r="B34" s="18" t="s">
        <v>49</v>
      </c>
      <c r="C34" s="18"/>
      <c r="D34" s="18" t="s">
        <v>92</v>
      </c>
      <c r="E34" s="18" t="s">
        <v>49</v>
      </c>
      <c r="F34" s="18" t="s">
        <v>77</v>
      </c>
      <c r="G34" s="18"/>
      <c r="H34" s="18">
        <v>1.2</v>
      </c>
      <c r="I34" s="18">
        <v>0.9</v>
      </c>
      <c r="J34" s="4"/>
      <c r="K34" s="8">
        <f t="shared" si="1"/>
        <v>0</v>
      </c>
      <c r="L34" s="8">
        <f>IFERROR(VLOOKUP($B34,Tecnicos!$E$1:$M$26,9,0)*G34,)</f>
        <v>0</v>
      </c>
      <c r="M34" s="8">
        <f>IFERROR(VLOOKUP($B34,Tecnicos!$E$1:$M$26,9,0)*H34,)</f>
        <v>9763.7987083636363</v>
      </c>
      <c r="N34" s="8">
        <f>IFERROR(VLOOKUP($B34,Tecnicos!$E$1:$M$26,9,0)*I34,)</f>
        <v>7322.8490312727281</v>
      </c>
      <c r="O34" s="8">
        <f>IFERROR(VLOOKUP($B34,Tecnicos!$E$1:$M$26,9,0)*J34,)</f>
        <v>0</v>
      </c>
    </row>
    <row r="35" spans="1:15" ht="15" customHeight="1" x14ac:dyDescent="0.35">
      <c r="A35" s="19" t="s">
        <v>64</v>
      </c>
      <c r="B35" s="19" t="s">
        <v>34</v>
      </c>
      <c r="C35" s="19"/>
      <c r="D35" s="19" t="s">
        <v>92</v>
      </c>
      <c r="E35" s="19" t="s">
        <v>34</v>
      </c>
      <c r="F35" s="20" t="s">
        <v>78</v>
      </c>
      <c r="G35" s="18"/>
      <c r="H35" s="18"/>
      <c r="I35" s="18">
        <v>3.05</v>
      </c>
      <c r="J35" s="4"/>
      <c r="K35" s="8">
        <f t="shared" si="1"/>
        <v>0</v>
      </c>
      <c r="L35" s="8">
        <f>IFERROR(VLOOKUP($B35,Tecnicos!$E$1:$M$26,9,0)*G35,)</f>
        <v>0</v>
      </c>
      <c r="M35" s="8">
        <f>IFERROR(VLOOKUP($B35,Tecnicos!$E$1:$M$26,9,0)*H35,)</f>
        <v>0</v>
      </c>
      <c r="N35" s="8">
        <f>IFERROR(VLOOKUP($B35,Tecnicos!$E$1:$M$26,9,0)*I35,)</f>
        <v>21097.680925363635</v>
      </c>
      <c r="O35" s="8">
        <f>IFERROR(VLOOKUP($B35,Tecnicos!$E$1:$M$26,9,0)*J35,)</f>
        <v>0</v>
      </c>
    </row>
    <row r="36" spans="1:15" ht="15" customHeight="1" x14ac:dyDescent="0.35">
      <c r="A36" s="19" t="s">
        <v>66</v>
      </c>
      <c r="B36" s="19" t="s">
        <v>37</v>
      </c>
      <c r="C36" s="19"/>
      <c r="D36" s="19" t="s">
        <v>92</v>
      </c>
      <c r="E36" s="19" t="s">
        <v>37</v>
      </c>
      <c r="F36" s="20" t="s">
        <v>78</v>
      </c>
      <c r="G36" s="18"/>
      <c r="H36" s="18"/>
      <c r="I36" s="18">
        <v>5</v>
      </c>
      <c r="J36" s="4"/>
      <c r="K36" s="8">
        <f t="shared" si="1"/>
        <v>0</v>
      </c>
      <c r="L36" s="8">
        <f>IFERROR(VLOOKUP($B36,Tecnicos!$E$1:$M$26,9,0)*G36,)</f>
        <v>0</v>
      </c>
      <c r="M36" s="8">
        <f>IFERROR(VLOOKUP($B36,Tecnicos!$E$1:$M$26,9,0)*H36,)</f>
        <v>0</v>
      </c>
      <c r="N36" s="8">
        <f>IFERROR(VLOOKUP($B36,Tecnicos!$E$1:$M$26,9,0)*I36,)</f>
        <v>13613.235236363636</v>
      </c>
      <c r="O36" s="8">
        <f>IFERROR(VLOOKUP($B36,Tecnicos!$E$1:$M$26,9,0)*J36,)</f>
        <v>0</v>
      </c>
    </row>
    <row r="37" spans="1:15" ht="15" customHeight="1" x14ac:dyDescent="0.35">
      <c r="A37" s="19" t="s">
        <v>67</v>
      </c>
      <c r="B37" s="19" t="s">
        <v>38</v>
      </c>
      <c r="C37" s="19"/>
      <c r="D37" s="19" t="s">
        <v>92</v>
      </c>
      <c r="E37" s="19" t="s">
        <v>38</v>
      </c>
      <c r="F37" s="20" t="s">
        <v>78</v>
      </c>
      <c r="G37" s="18"/>
      <c r="H37" s="18"/>
      <c r="I37" s="18">
        <v>3.05</v>
      </c>
      <c r="J37" s="4"/>
      <c r="K37" s="8">
        <f t="shared" ref="K37:K57" si="2">SUM(G37:J37)*L37</f>
        <v>0</v>
      </c>
      <c r="L37" s="8">
        <f>IFERROR(VLOOKUP($B37,Tecnicos!$E$1:$M$26,9,0)*G37,)</f>
        <v>0</v>
      </c>
      <c r="M37" s="8">
        <f>IFERROR(VLOOKUP($B37,Tecnicos!$E$1:$M$26,9,0)*H37,)</f>
        <v>0</v>
      </c>
      <c r="N37" s="8">
        <f>IFERROR(VLOOKUP($B37,Tecnicos!$E$1:$M$26,9,0)*I37,)</f>
        <v>9001.5233769999995</v>
      </c>
      <c r="O37" s="8">
        <f>IFERROR(VLOOKUP($B37,Tecnicos!$E$1:$M$26,9,0)*J37,)</f>
        <v>0</v>
      </c>
    </row>
    <row r="38" spans="1:15" ht="15" customHeight="1" x14ac:dyDescent="0.35">
      <c r="A38" s="19" t="s">
        <v>68</v>
      </c>
      <c r="B38" s="19" t="s">
        <v>39</v>
      </c>
      <c r="C38" s="19"/>
      <c r="D38" s="19" t="s">
        <v>92</v>
      </c>
      <c r="E38" s="19" t="s">
        <v>39</v>
      </c>
      <c r="F38" s="20" t="s">
        <v>78</v>
      </c>
      <c r="G38" s="18"/>
      <c r="H38" s="18"/>
      <c r="I38" s="18">
        <v>3.05</v>
      </c>
      <c r="J38" s="4"/>
      <c r="K38" s="8">
        <f t="shared" si="2"/>
        <v>0</v>
      </c>
      <c r="L38" s="8">
        <f>IFERROR(VLOOKUP($B38,Tecnicos!$E$1:$M$26,9,0)*G38,)</f>
        <v>0</v>
      </c>
      <c r="M38" s="8">
        <f>IFERROR(VLOOKUP($B38,Tecnicos!$E$1:$M$26,9,0)*H38,)</f>
        <v>0</v>
      </c>
      <c r="N38" s="8">
        <f>IFERROR(VLOOKUP($B38,Tecnicos!$E$1:$M$26,9,0)*I38,)</f>
        <v>19132.230979909091</v>
      </c>
      <c r="O38" s="8">
        <f>IFERROR(VLOOKUP($B38,Tecnicos!$E$1:$M$26,9,0)*J38,)</f>
        <v>0</v>
      </c>
    </row>
    <row r="39" spans="1:15" ht="15" customHeight="1" x14ac:dyDescent="0.35">
      <c r="A39" s="19" t="s">
        <v>69</v>
      </c>
      <c r="B39" s="19" t="s">
        <v>40</v>
      </c>
      <c r="C39" s="19"/>
      <c r="D39" s="19" t="s">
        <v>92</v>
      </c>
      <c r="E39" s="19" t="s">
        <v>40</v>
      </c>
      <c r="F39" s="20" t="s">
        <v>78</v>
      </c>
      <c r="G39" s="18"/>
      <c r="H39" s="18"/>
      <c r="I39" s="18">
        <v>2.1</v>
      </c>
      <c r="J39" s="4"/>
      <c r="K39" s="8">
        <f t="shared" si="2"/>
        <v>0</v>
      </c>
      <c r="L39" s="8">
        <f>IFERROR(VLOOKUP($B39,Tecnicos!$E$1:$M$26,9,0)*G39,)</f>
        <v>0</v>
      </c>
      <c r="M39" s="8">
        <f>IFERROR(VLOOKUP($B39,Tecnicos!$E$1:$M$26,9,0)*H39,)</f>
        <v>0</v>
      </c>
      <c r="N39" s="8">
        <f>IFERROR(VLOOKUP($B39,Tecnicos!$E$1:$M$26,9,0)*I39,)</f>
        <v>11091.310951636364</v>
      </c>
      <c r="O39" s="8">
        <f>IFERROR(VLOOKUP($B39,Tecnicos!$E$1:$M$26,9,0)*J39,)</f>
        <v>0</v>
      </c>
    </row>
    <row r="40" spans="1:15" ht="15" customHeight="1" x14ac:dyDescent="0.35">
      <c r="A40" s="19" t="s">
        <v>70</v>
      </c>
      <c r="B40" s="19" t="s">
        <v>43</v>
      </c>
      <c r="C40" s="19"/>
      <c r="D40" s="19" t="s">
        <v>92</v>
      </c>
      <c r="E40" s="19" t="s">
        <v>43</v>
      </c>
      <c r="F40" s="20" t="s">
        <v>78</v>
      </c>
      <c r="G40" s="18"/>
      <c r="H40" s="18"/>
      <c r="I40" s="18">
        <v>2.1</v>
      </c>
      <c r="J40" s="4"/>
      <c r="K40" s="8">
        <f t="shared" si="2"/>
        <v>0</v>
      </c>
      <c r="L40" s="8">
        <f>IFERROR(VLOOKUP($B40,Tecnicos!$E$1:$M$26,9,0)*G40,)</f>
        <v>0</v>
      </c>
      <c r="M40" s="8">
        <f>IFERROR(VLOOKUP($B40,Tecnicos!$E$1:$M$26,9,0)*H40,)</f>
        <v>0</v>
      </c>
      <c r="N40" s="8">
        <f>IFERROR(VLOOKUP($B40,Tecnicos!$E$1:$M$26,9,0)*I40,)</f>
        <v>13189.38790909091</v>
      </c>
      <c r="O40" s="8">
        <f>IFERROR(VLOOKUP($B40,Tecnicos!$E$1:$M$26,9,0)*J40,)</f>
        <v>0</v>
      </c>
    </row>
    <row r="41" spans="1:15" ht="15" customHeight="1" x14ac:dyDescent="0.35">
      <c r="A41" s="19" t="s">
        <v>71</v>
      </c>
      <c r="B41" s="19" t="s">
        <v>45</v>
      </c>
      <c r="C41" s="19"/>
      <c r="D41" s="19" t="s">
        <v>92</v>
      </c>
      <c r="E41" s="19" t="s">
        <v>45</v>
      </c>
      <c r="F41" s="20" t="s">
        <v>78</v>
      </c>
      <c r="G41" s="18"/>
      <c r="H41" s="18"/>
      <c r="I41" s="18">
        <v>2.5</v>
      </c>
      <c r="J41" s="4"/>
      <c r="K41" s="8">
        <f t="shared" si="2"/>
        <v>0</v>
      </c>
      <c r="L41" s="8">
        <f>IFERROR(VLOOKUP($B41,Tecnicos!$E$1:$M$26,9,0)*G41,)</f>
        <v>0</v>
      </c>
      <c r="M41" s="8">
        <f>IFERROR(VLOOKUP($B41,Tecnicos!$E$1:$M$26,9,0)*H41,)</f>
        <v>0</v>
      </c>
      <c r="N41" s="8">
        <f>IFERROR(VLOOKUP($B41,Tecnicos!$E$1:$M$26,9,0)*I41,)</f>
        <v>16415.717499999999</v>
      </c>
      <c r="O41" s="8">
        <f>IFERROR(VLOOKUP($B41,Tecnicos!$E$1:$M$26,9,0)*J41,)</f>
        <v>0</v>
      </c>
    </row>
    <row r="42" spans="1:15" ht="15" customHeight="1" x14ac:dyDescent="0.35">
      <c r="A42" s="19" t="s">
        <v>72</v>
      </c>
      <c r="B42" s="19" t="s">
        <v>46</v>
      </c>
      <c r="C42" s="19"/>
      <c r="D42" s="19" t="s">
        <v>92</v>
      </c>
      <c r="E42" s="19" t="s">
        <v>46</v>
      </c>
      <c r="F42" s="20" t="s">
        <v>78</v>
      </c>
      <c r="G42" s="18"/>
      <c r="H42" s="18"/>
      <c r="I42" s="18">
        <v>5</v>
      </c>
      <c r="J42" s="4"/>
      <c r="K42" s="8">
        <f t="shared" si="2"/>
        <v>0</v>
      </c>
      <c r="L42" s="8">
        <f>IFERROR(VLOOKUP($B42,Tecnicos!$E$1:$M$26,9,0)*G42,)</f>
        <v>0</v>
      </c>
      <c r="M42" s="8">
        <f>IFERROR(VLOOKUP($B42,Tecnicos!$E$1:$M$26,9,0)*H42,)</f>
        <v>0</v>
      </c>
      <c r="N42" s="8">
        <f>IFERROR(VLOOKUP($B42,Tecnicos!$E$1:$M$26,9,0)*I42,)</f>
        <v>17352.757863636369</v>
      </c>
      <c r="O42" s="8">
        <f>IFERROR(VLOOKUP($B42,Tecnicos!$E$1:$M$26,9,0)*J42,)</f>
        <v>0</v>
      </c>
    </row>
    <row r="43" spans="1:15" ht="15" customHeight="1" x14ac:dyDescent="0.35">
      <c r="A43" s="19" t="s">
        <v>73</v>
      </c>
      <c r="B43" s="19" t="s">
        <v>47</v>
      </c>
      <c r="C43" s="19"/>
      <c r="D43" s="19" t="s">
        <v>92</v>
      </c>
      <c r="E43" s="19" t="s">
        <v>47</v>
      </c>
      <c r="F43" s="20" t="s">
        <v>78</v>
      </c>
      <c r="G43" s="18"/>
      <c r="H43" s="18"/>
      <c r="I43" s="18">
        <v>5</v>
      </c>
      <c r="J43" s="4"/>
      <c r="K43" s="8">
        <f t="shared" si="2"/>
        <v>0</v>
      </c>
      <c r="L43" s="8">
        <f>IFERROR(VLOOKUP($B43,Tecnicos!$E$1:$M$26,9,0)*G43,)</f>
        <v>0</v>
      </c>
      <c r="M43" s="8">
        <f>IFERROR(VLOOKUP($B43,Tecnicos!$E$1:$M$26,9,0)*H43,)</f>
        <v>0</v>
      </c>
      <c r="N43" s="8">
        <f>IFERROR(VLOOKUP($B43,Tecnicos!$E$1:$M$26,9,0)*I43,)</f>
        <v>14008.909090909092</v>
      </c>
      <c r="O43" s="8">
        <f>IFERROR(VLOOKUP($B43,Tecnicos!$E$1:$M$26,9,0)*J43,)</f>
        <v>0</v>
      </c>
    </row>
    <row r="44" spans="1:15" ht="15" customHeight="1" x14ac:dyDescent="0.35">
      <c r="A44" s="19" t="s">
        <v>74</v>
      </c>
      <c r="B44" s="19" t="s">
        <v>48</v>
      </c>
      <c r="C44" s="19"/>
      <c r="D44" s="19" t="s">
        <v>92</v>
      </c>
      <c r="E44" s="19" t="s">
        <v>48</v>
      </c>
      <c r="F44" s="20" t="s">
        <v>78</v>
      </c>
      <c r="G44" s="18"/>
      <c r="H44" s="18"/>
      <c r="I44" s="18">
        <v>2.5</v>
      </c>
      <c r="J44" s="4"/>
      <c r="K44" s="8">
        <f t="shared" si="2"/>
        <v>0</v>
      </c>
      <c r="L44" s="8">
        <f>IFERROR(VLOOKUP($B44,Tecnicos!$E$1:$M$26,9,0)*G44,)</f>
        <v>0</v>
      </c>
      <c r="M44" s="8">
        <f>IFERROR(VLOOKUP($B44,Tecnicos!$E$1:$M$26,9,0)*H44,)</f>
        <v>0</v>
      </c>
      <c r="N44" s="8">
        <f>IFERROR(VLOOKUP($B44,Tecnicos!$E$1:$M$26,9,0)*I44,)</f>
        <v>16415.717499999999</v>
      </c>
      <c r="O44" s="8">
        <f>IFERROR(VLOOKUP($B44,Tecnicos!$E$1:$M$26,9,0)*J44,)</f>
        <v>0</v>
      </c>
    </row>
    <row r="45" spans="1:15" ht="15" customHeight="1" x14ac:dyDescent="0.35">
      <c r="A45" s="19" t="s">
        <v>75</v>
      </c>
      <c r="B45" s="19" t="s">
        <v>49</v>
      </c>
      <c r="C45" s="19"/>
      <c r="D45" s="19" t="s">
        <v>92</v>
      </c>
      <c r="E45" s="19" t="s">
        <v>49</v>
      </c>
      <c r="F45" s="20" t="s">
        <v>78</v>
      </c>
      <c r="G45" s="18"/>
      <c r="H45" s="18"/>
      <c r="I45" s="18">
        <v>2.1</v>
      </c>
      <c r="J45" s="4"/>
      <c r="K45" s="8">
        <f t="shared" si="2"/>
        <v>0</v>
      </c>
      <c r="L45" s="8">
        <f>IFERROR(VLOOKUP($B45,Tecnicos!$E$1:$M$26,9,0)*G45,)</f>
        <v>0</v>
      </c>
      <c r="M45" s="8">
        <f>IFERROR(VLOOKUP($B45,Tecnicos!$E$1:$M$26,9,0)*H45,)</f>
        <v>0</v>
      </c>
      <c r="N45" s="8">
        <f>IFERROR(VLOOKUP($B45,Tecnicos!$E$1:$M$26,9,0)*I45,)</f>
        <v>17086.647739636366</v>
      </c>
      <c r="O45" s="8">
        <f>IFERROR(VLOOKUP($B45,Tecnicos!$E$1:$M$26,9,0)*J45,)</f>
        <v>0</v>
      </c>
    </row>
    <row r="46" spans="1:15" hidden="1" x14ac:dyDescent="0.35">
      <c r="A46" s="18" t="s">
        <v>64</v>
      </c>
      <c r="B46" s="18" t="s">
        <v>34</v>
      </c>
      <c r="C46" s="18"/>
      <c r="D46" s="18" t="s">
        <v>92</v>
      </c>
      <c r="E46" s="18" t="s">
        <v>34</v>
      </c>
      <c r="F46" s="18" t="s">
        <v>79</v>
      </c>
      <c r="G46" s="18"/>
      <c r="H46" s="18"/>
      <c r="I46" s="18"/>
      <c r="J46" s="4"/>
      <c r="K46" s="8">
        <f t="shared" si="2"/>
        <v>0</v>
      </c>
      <c r="L46" s="8">
        <f>IFERROR(VLOOKUP($B46,Tecnicos!$E$1:$M$26,9,0)*G46,)</f>
        <v>0</v>
      </c>
      <c r="M46" s="8">
        <f>IFERROR(VLOOKUP($B46,Tecnicos!$E$1:$M$26,9,0)*H46,)</f>
        <v>0</v>
      </c>
      <c r="N46" s="8">
        <f>IFERROR(VLOOKUP($B46,Tecnicos!$E$1:$M$26,9,0)*I46,)</f>
        <v>0</v>
      </c>
      <c r="O46" s="8">
        <f>IFERROR(VLOOKUP($B46,Tecnicos!$E$1:$M$26,9,0)*J46,)</f>
        <v>0</v>
      </c>
    </row>
    <row r="47" spans="1:15" hidden="1" x14ac:dyDescent="0.35">
      <c r="A47" s="18" t="s">
        <v>66</v>
      </c>
      <c r="B47" s="18" t="s">
        <v>37</v>
      </c>
      <c r="C47" s="18"/>
      <c r="D47" s="18" t="s">
        <v>92</v>
      </c>
      <c r="E47" s="18" t="s">
        <v>37</v>
      </c>
      <c r="F47" s="18" t="s">
        <v>79</v>
      </c>
      <c r="G47" s="18"/>
      <c r="H47" s="18"/>
      <c r="I47" s="18"/>
      <c r="J47" s="4"/>
      <c r="K47" s="8">
        <f t="shared" si="2"/>
        <v>0</v>
      </c>
      <c r="L47" s="8">
        <f>IFERROR(VLOOKUP($B47,Tecnicos!$E$1:$M$26,9,0)*G47,)</f>
        <v>0</v>
      </c>
      <c r="M47" s="8">
        <f>IFERROR(VLOOKUP($B47,Tecnicos!$E$1:$M$26,9,0)*H47,)</f>
        <v>0</v>
      </c>
      <c r="N47" s="8">
        <f>IFERROR(VLOOKUP($B47,Tecnicos!$E$1:$M$26,9,0)*I47,)</f>
        <v>0</v>
      </c>
      <c r="O47" s="8">
        <f>IFERROR(VLOOKUP($B47,Tecnicos!$E$1:$M$26,9,0)*J47,)</f>
        <v>0</v>
      </c>
    </row>
    <row r="48" spans="1:15" hidden="1" x14ac:dyDescent="0.35">
      <c r="A48" s="18" t="s">
        <v>67</v>
      </c>
      <c r="B48" s="18" t="s">
        <v>38</v>
      </c>
      <c r="C48" s="18"/>
      <c r="D48" s="18" t="s">
        <v>92</v>
      </c>
      <c r="E48" s="18" t="s">
        <v>38</v>
      </c>
      <c r="F48" s="18" t="s">
        <v>79</v>
      </c>
      <c r="G48" s="18"/>
      <c r="H48" s="18"/>
      <c r="I48" s="18"/>
      <c r="J48" s="4"/>
      <c r="K48" s="8">
        <f t="shared" si="2"/>
        <v>0</v>
      </c>
      <c r="L48" s="8">
        <f>IFERROR(VLOOKUP($B48,Tecnicos!$E$1:$M$26,9,0)*G48,)</f>
        <v>0</v>
      </c>
      <c r="M48" s="8">
        <f>IFERROR(VLOOKUP($B48,Tecnicos!$E$1:$M$26,9,0)*H48,)</f>
        <v>0</v>
      </c>
      <c r="N48" s="8">
        <f>IFERROR(VLOOKUP($B48,Tecnicos!$E$1:$M$26,9,0)*I48,)</f>
        <v>0</v>
      </c>
      <c r="O48" s="8">
        <f>IFERROR(VLOOKUP($B48,Tecnicos!$E$1:$M$26,9,0)*J48,)</f>
        <v>0</v>
      </c>
    </row>
    <row r="49" spans="1:15" hidden="1" x14ac:dyDescent="0.35">
      <c r="A49" s="18" t="s">
        <v>68</v>
      </c>
      <c r="B49" s="18" t="s">
        <v>39</v>
      </c>
      <c r="C49" s="18"/>
      <c r="D49" s="18" t="s">
        <v>92</v>
      </c>
      <c r="E49" s="18" t="s">
        <v>39</v>
      </c>
      <c r="F49" s="18" t="s">
        <v>79</v>
      </c>
      <c r="G49" s="18"/>
      <c r="H49" s="18"/>
      <c r="I49" s="18"/>
      <c r="J49" s="4"/>
      <c r="K49" s="8">
        <f t="shared" si="2"/>
        <v>0</v>
      </c>
      <c r="L49" s="8">
        <f>IFERROR(VLOOKUP($B49,Tecnicos!$E$1:$M$26,9,0)*G49,)</f>
        <v>0</v>
      </c>
      <c r="M49" s="8">
        <f>IFERROR(VLOOKUP($B49,Tecnicos!$E$1:$M$26,9,0)*H49,)</f>
        <v>0</v>
      </c>
      <c r="N49" s="8">
        <f>IFERROR(VLOOKUP($B49,Tecnicos!$E$1:$M$26,9,0)*I49,)</f>
        <v>0</v>
      </c>
      <c r="O49" s="8">
        <f>IFERROR(VLOOKUP($B49,Tecnicos!$E$1:$M$26,9,0)*J49,)</f>
        <v>0</v>
      </c>
    </row>
    <row r="50" spans="1:15" x14ac:dyDescent="0.35">
      <c r="A50" s="18" t="s">
        <v>69</v>
      </c>
      <c r="B50" s="18" t="s">
        <v>40</v>
      </c>
      <c r="C50" s="18"/>
      <c r="D50" s="18" t="s">
        <v>92</v>
      </c>
      <c r="E50" s="18" t="s">
        <v>40</v>
      </c>
      <c r="F50" s="18" t="s">
        <v>79</v>
      </c>
      <c r="G50" s="18"/>
      <c r="H50" s="18">
        <v>0.2</v>
      </c>
      <c r="I50" s="18">
        <v>0.5</v>
      </c>
      <c r="J50" s="4"/>
      <c r="K50" s="8">
        <f t="shared" si="2"/>
        <v>0</v>
      </c>
      <c r="L50" s="8">
        <f>IFERROR(VLOOKUP($B50,Tecnicos!$E$1:$M$26,9,0)*G50,)</f>
        <v>0</v>
      </c>
      <c r="M50" s="8">
        <f>IFERROR(VLOOKUP($B50,Tecnicos!$E$1:$M$26,9,0)*H50,)</f>
        <v>1056.3153287272728</v>
      </c>
      <c r="N50" s="8">
        <f>IFERROR(VLOOKUP($B50,Tecnicos!$E$1:$M$26,9,0)*I50,)</f>
        <v>2640.7883218181819</v>
      </c>
      <c r="O50" s="8">
        <f>IFERROR(VLOOKUP($B50,Tecnicos!$E$1:$M$26,9,0)*J50,)</f>
        <v>0</v>
      </c>
    </row>
    <row r="51" spans="1:15" hidden="1" x14ac:dyDescent="0.35">
      <c r="A51" s="18" t="s">
        <v>70</v>
      </c>
      <c r="B51" s="18" t="s">
        <v>43</v>
      </c>
      <c r="C51" s="18"/>
      <c r="D51" s="18" t="s">
        <v>92</v>
      </c>
      <c r="E51" s="18" t="s">
        <v>43</v>
      </c>
      <c r="F51" s="18" t="s">
        <v>79</v>
      </c>
      <c r="G51" s="18"/>
      <c r="H51" s="18"/>
      <c r="I51" s="18"/>
      <c r="J51" s="4"/>
      <c r="K51" s="8">
        <f t="shared" si="2"/>
        <v>0</v>
      </c>
      <c r="L51" s="8">
        <f>IFERROR(VLOOKUP($B51,Tecnicos!$E$1:$M$26,9,0)*G51,)</f>
        <v>0</v>
      </c>
      <c r="M51" s="8">
        <f>IFERROR(VLOOKUP($B51,Tecnicos!$E$1:$M$26,9,0)*H51,)</f>
        <v>0</v>
      </c>
      <c r="N51" s="8">
        <f>IFERROR(VLOOKUP($B51,Tecnicos!$E$1:$M$26,9,0)*I51,)</f>
        <v>0</v>
      </c>
      <c r="O51" s="8">
        <f>IFERROR(VLOOKUP($B51,Tecnicos!$E$1:$M$26,9,0)*J51,)</f>
        <v>0</v>
      </c>
    </row>
    <row r="52" spans="1:15" x14ac:dyDescent="0.35">
      <c r="A52" s="18" t="s">
        <v>71</v>
      </c>
      <c r="B52" s="18" t="s">
        <v>45</v>
      </c>
      <c r="C52" s="18"/>
      <c r="D52" s="18" t="s">
        <v>92</v>
      </c>
      <c r="E52" s="18" t="s">
        <v>45</v>
      </c>
      <c r="F52" s="18" t="s">
        <v>79</v>
      </c>
      <c r="G52" s="18"/>
      <c r="H52" s="18">
        <v>0.2</v>
      </c>
      <c r="I52" s="18">
        <v>0.5</v>
      </c>
      <c r="J52" s="4"/>
      <c r="K52" s="8">
        <f t="shared" si="2"/>
        <v>0</v>
      </c>
      <c r="L52" s="8">
        <f>IFERROR(VLOOKUP($B52,Tecnicos!$E$1:$M$26,9,0)*G52,)</f>
        <v>0</v>
      </c>
      <c r="M52" s="8">
        <f>IFERROR(VLOOKUP($B52,Tecnicos!$E$1:$M$26,9,0)*H52,)</f>
        <v>1313.2574000000002</v>
      </c>
      <c r="N52" s="8">
        <f>IFERROR(VLOOKUP($B52,Tecnicos!$E$1:$M$26,9,0)*I52,)</f>
        <v>3283.1435000000001</v>
      </c>
      <c r="O52" s="8">
        <f>IFERROR(VLOOKUP($B52,Tecnicos!$E$1:$M$26,9,0)*J52,)</f>
        <v>0</v>
      </c>
    </row>
    <row r="53" spans="1:15" hidden="1" x14ac:dyDescent="0.35">
      <c r="A53" s="18" t="s">
        <v>72</v>
      </c>
      <c r="B53" s="18" t="s">
        <v>46</v>
      </c>
      <c r="C53" s="18"/>
      <c r="D53" s="18" t="s">
        <v>92</v>
      </c>
      <c r="E53" s="18" t="s">
        <v>46</v>
      </c>
      <c r="F53" s="18" t="s">
        <v>79</v>
      </c>
      <c r="G53" s="18"/>
      <c r="H53" s="18"/>
      <c r="I53" s="18"/>
      <c r="J53" s="4"/>
      <c r="K53" s="8">
        <f t="shared" si="2"/>
        <v>0</v>
      </c>
      <c r="L53" s="8">
        <f>IFERROR(VLOOKUP($B53,Tecnicos!$E$1:$M$26,9,0)*G53,)</f>
        <v>0</v>
      </c>
      <c r="M53" s="8">
        <f>IFERROR(VLOOKUP($B53,Tecnicos!$E$1:$M$26,9,0)*H53,)</f>
        <v>0</v>
      </c>
      <c r="N53" s="8">
        <f>IFERROR(VLOOKUP($B53,Tecnicos!$E$1:$M$26,9,0)*I53,)</f>
        <v>0</v>
      </c>
      <c r="O53" s="8">
        <f>IFERROR(VLOOKUP($B53,Tecnicos!$E$1:$M$26,9,0)*J53,)</f>
        <v>0</v>
      </c>
    </row>
    <row r="54" spans="1:15" hidden="1" x14ac:dyDescent="0.35">
      <c r="A54" s="18" t="s">
        <v>73</v>
      </c>
      <c r="B54" s="18" t="s">
        <v>47</v>
      </c>
      <c r="C54" s="18"/>
      <c r="D54" s="18" t="s">
        <v>92</v>
      </c>
      <c r="E54" s="18" t="s">
        <v>47</v>
      </c>
      <c r="F54" s="18" t="s">
        <v>79</v>
      </c>
      <c r="G54" s="18"/>
      <c r="H54" s="18"/>
      <c r="I54" s="18"/>
      <c r="J54" s="4"/>
      <c r="K54" s="8">
        <f t="shared" si="2"/>
        <v>0</v>
      </c>
      <c r="L54" s="8">
        <f>IFERROR(VLOOKUP($B54,Tecnicos!$E$1:$M$26,9,0)*G54,)</f>
        <v>0</v>
      </c>
      <c r="M54" s="8">
        <f>IFERROR(VLOOKUP($B54,Tecnicos!$E$1:$M$26,9,0)*H54,)</f>
        <v>0</v>
      </c>
      <c r="N54" s="8">
        <f>IFERROR(VLOOKUP($B54,Tecnicos!$E$1:$M$26,9,0)*I54,)</f>
        <v>0</v>
      </c>
      <c r="O54" s="8">
        <f>IFERROR(VLOOKUP($B54,Tecnicos!$E$1:$M$26,9,0)*J54,)</f>
        <v>0</v>
      </c>
    </row>
    <row r="55" spans="1:15" x14ac:dyDescent="0.35">
      <c r="A55" s="18" t="s">
        <v>74</v>
      </c>
      <c r="B55" s="18" t="s">
        <v>48</v>
      </c>
      <c r="C55" s="18"/>
      <c r="D55" s="18" t="s">
        <v>92</v>
      </c>
      <c r="E55" s="18" t="s">
        <v>48</v>
      </c>
      <c r="F55" s="18" t="s">
        <v>79</v>
      </c>
      <c r="G55" s="18"/>
      <c r="H55" s="18">
        <v>0.2</v>
      </c>
      <c r="I55" s="18">
        <v>0.5</v>
      </c>
      <c r="J55" s="4"/>
      <c r="K55" s="8">
        <f t="shared" si="2"/>
        <v>0</v>
      </c>
      <c r="L55" s="8">
        <f>IFERROR(VLOOKUP($B55,Tecnicos!$E$1:$M$26,9,0)*G55,)</f>
        <v>0</v>
      </c>
      <c r="M55" s="8">
        <f>IFERROR(VLOOKUP($B55,Tecnicos!$E$1:$M$26,9,0)*H55,)</f>
        <v>1313.2574000000002</v>
      </c>
      <c r="N55" s="8">
        <f>IFERROR(VLOOKUP($B55,Tecnicos!$E$1:$M$26,9,0)*I55,)</f>
        <v>3283.1435000000001</v>
      </c>
      <c r="O55" s="8">
        <f>IFERROR(VLOOKUP($B55,Tecnicos!$E$1:$M$26,9,0)*J55,)</f>
        <v>0</v>
      </c>
    </row>
    <row r="56" spans="1:15" hidden="1" x14ac:dyDescent="0.35">
      <c r="A56" s="18" t="s">
        <v>75</v>
      </c>
      <c r="B56" s="18" t="s">
        <v>49</v>
      </c>
      <c r="C56" s="18"/>
      <c r="D56" s="18" t="s">
        <v>92</v>
      </c>
      <c r="E56" s="18" t="s">
        <v>49</v>
      </c>
      <c r="F56" s="18" t="s">
        <v>79</v>
      </c>
      <c r="G56" s="18"/>
      <c r="H56" s="18"/>
      <c r="I56" s="18"/>
      <c r="J56" s="4"/>
      <c r="K56" s="8">
        <f t="shared" si="2"/>
        <v>0</v>
      </c>
      <c r="L56" s="8">
        <f>IFERROR(VLOOKUP($B56,Tecnicos!$E$1:$M$26,9,0)*G56,)</f>
        <v>0</v>
      </c>
      <c r="M56" s="8">
        <f>IFERROR(VLOOKUP($B56,Tecnicos!$E$1:$M$26,9,0)*H56,)</f>
        <v>0</v>
      </c>
      <c r="N56" s="8">
        <f>IFERROR(VLOOKUP($B56,Tecnicos!$E$1:$M$26,9,0)*I56,)</f>
        <v>0</v>
      </c>
      <c r="O56" s="8">
        <f>IFERROR(VLOOKUP($B56,Tecnicos!$E$1:$M$26,9,0)*J56,)</f>
        <v>0</v>
      </c>
    </row>
    <row r="57" spans="1:15" ht="15" thickBot="1" x14ac:dyDescent="0.4">
      <c r="A57" s="35" t="s">
        <v>72</v>
      </c>
      <c r="B57" s="35" t="s">
        <v>46</v>
      </c>
      <c r="C57" s="35"/>
      <c r="D57" s="35" t="s">
        <v>92</v>
      </c>
      <c r="E57" s="35" t="s">
        <v>46</v>
      </c>
      <c r="F57" s="35" t="s">
        <v>80</v>
      </c>
      <c r="G57" s="32">
        <v>1</v>
      </c>
      <c r="H57" s="32">
        <v>1</v>
      </c>
      <c r="I57" s="32">
        <v>1</v>
      </c>
      <c r="J57" s="31"/>
      <c r="K57" s="33">
        <f t="shared" si="2"/>
        <v>10411.65471818182</v>
      </c>
      <c r="L57" s="33">
        <f>IFERROR(VLOOKUP($B57,Tecnicos!$E$1:$M$26,9,0)*G57,)</f>
        <v>3470.5515727272737</v>
      </c>
      <c r="M57" s="33">
        <f>IFERROR(VLOOKUP($B57,Tecnicos!$E$1:$M$26,9,0)*H57,)</f>
        <v>3470.5515727272737</v>
      </c>
      <c r="N57" s="33">
        <f>IFERROR(VLOOKUP($B57,Tecnicos!$E$1:$M$26,9,0)*I57,)</f>
        <v>3470.5515727272737</v>
      </c>
      <c r="O57" s="33">
        <f>IFERROR(VLOOKUP($B57,Tecnicos!$E$1:$M$26,9,0)*J57,)</f>
        <v>0</v>
      </c>
    </row>
    <row r="58" spans="1:15" x14ac:dyDescent="0.35">
      <c r="A58" s="27" t="s">
        <v>109</v>
      </c>
      <c r="B58" s="27" t="s">
        <v>98</v>
      </c>
      <c r="C58" s="27"/>
      <c r="D58" s="27" t="s">
        <v>126</v>
      </c>
      <c r="E58" s="27" t="s">
        <v>98</v>
      </c>
      <c r="F58" s="27" t="s">
        <v>65</v>
      </c>
      <c r="G58" s="27">
        <v>5</v>
      </c>
      <c r="H58" s="27"/>
      <c r="I58" s="27"/>
      <c r="J58" s="26"/>
      <c r="K58" s="8">
        <f t="shared" ref="K58:K88" si="3">SUM(G58:J58)*L58</f>
        <v>97284.090909090912</v>
      </c>
      <c r="L58" s="8">
        <f>IFERROR(VLOOKUP($B58,Tecnicos!$E$1:$M$26,9,0)*G58,)</f>
        <v>19456.818181818184</v>
      </c>
      <c r="M58" s="8">
        <f>IFERROR(VLOOKUP($B58,Tecnicos!$E$1:$M$26,9,0)*H58,)</f>
        <v>0</v>
      </c>
      <c r="N58" s="8">
        <f>IFERROR(VLOOKUP($B58,Tecnicos!$E$1:$M$26,9,0)*I58,)</f>
        <v>0</v>
      </c>
      <c r="O58" s="8">
        <f>IFERROR(VLOOKUP($B58,Tecnicos!$E$1:$M$26,9,0)*J58,)</f>
        <v>0</v>
      </c>
    </row>
    <row r="59" spans="1:15" x14ac:dyDescent="0.35">
      <c r="A59" s="18" t="s">
        <v>111</v>
      </c>
      <c r="B59" s="18" t="s">
        <v>99</v>
      </c>
      <c r="C59" s="18"/>
      <c r="D59" s="18" t="s">
        <v>126</v>
      </c>
      <c r="E59" s="18" t="s">
        <v>99</v>
      </c>
      <c r="F59" s="18" t="s">
        <v>65</v>
      </c>
      <c r="G59" s="18">
        <v>5</v>
      </c>
      <c r="H59" s="18"/>
      <c r="I59" s="18"/>
      <c r="J59" s="4"/>
      <c r="K59" s="8">
        <f t="shared" si="3"/>
        <v>97284.090909090912</v>
      </c>
      <c r="L59" s="8">
        <f>IFERROR(VLOOKUP($B59,Tecnicos!$E$1:$M$26,9,0)*G59,)</f>
        <v>19456.818181818184</v>
      </c>
      <c r="M59" s="8">
        <f>IFERROR(VLOOKUP($B59,Tecnicos!$E$1:$M$26,9,0)*H59,)</f>
        <v>0</v>
      </c>
      <c r="N59" s="8">
        <f>IFERROR(VLOOKUP($B59,Tecnicos!$E$1:$M$26,9,0)*I59,)</f>
        <v>0</v>
      </c>
      <c r="O59" s="8">
        <f>IFERROR(VLOOKUP($B59,Tecnicos!$E$1:$M$26,9,0)*J59,)</f>
        <v>0</v>
      </c>
    </row>
    <row r="60" spans="1:15" x14ac:dyDescent="0.35">
      <c r="A60" s="18" t="s">
        <v>113</v>
      </c>
      <c r="B60" s="18" t="s">
        <v>100</v>
      </c>
      <c r="C60" s="18"/>
      <c r="D60" s="18" t="s">
        <v>126</v>
      </c>
      <c r="E60" s="18" t="s">
        <v>100</v>
      </c>
      <c r="F60" s="18" t="s">
        <v>65</v>
      </c>
      <c r="G60" s="18">
        <v>3</v>
      </c>
      <c r="H60" s="18"/>
      <c r="I60" s="18"/>
      <c r="J60" s="4"/>
      <c r="K60" s="8">
        <f t="shared" si="3"/>
        <v>35022.272727272728</v>
      </c>
      <c r="L60" s="8">
        <f>IFERROR(VLOOKUP($B60,Tecnicos!$E$1:$M$26,9,0)*G60,)</f>
        <v>11674.09090909091</v>
      </c>
      <c r="M60" s="8">
        <f>IFERROR(VLOOKUP($B60,Tecnicos!$E$1:$M$26,9,0)*H60,)</f>
        <v>0</v>
      </c>
      <c r="N60" s="8">
        <f>IFERROR(VLOOKUP($B60,Tecnicos!$E$1:$M$26,9,0)*I60,)</f>
        <v>0</v>
      </c>
      <c r="O60" s="8">
        <f>IFERROR(VLOOKUP($B60,Tecnicos!$E$1:$M$26,9,0)*J60,)</f>
        <v>0</v>
      </c>
    </row>
    <row r="61" spans="1:15" x14ac:dyDescent="0.35">
      <c r="A61" s="18" t="s">
        <v>115</v>
      </c>
      <c r="B61" s="18" t="s">
        <v>101</v>
      </c>
      <c r="C61" s="18"/>
      <c r="D61" s="18" t="s">
        <v>126</v>
      </c>
      <c r="E61" s="18" t="s">
        <v>101</v>
      </c>
      <c r="F61" s="18" t="s">
        <v>65</v>
      </c>
      <c r="G61" s="18">
        <v>1</v>
      </c>
      <c r="H61" s="18"/>
      <c r="I61" s="18"/>
      <c r="J61" s="4"/>
      <c r="K61" s="8">
        <f t="shared" si="3"/>
        <v>5759.2181818181825</v>
      </c>
      <c r="L61" s="8">
        <f>IFERROR(VLOOKUP($B61,Tecnicos!$E$1:$M$26,9,0)*G61,)</f>
        <v>5759.2181818181825</v>
      </c>
      <c r="M61" s="8">
        <f>IFERROR(VLOOKUP($B61,Tecnicos!$E$1:$M$26,9,0)*H61,)</f>
        <v>0</v>
      </c>
      <c r="N61" s="8">
        <f>IFERROR(VLOOKUP($B61,Tecnicos!$E$1:$M$26,9,0)*I61,)</f>
        <v>0</v>
      </c>
      <c r="O61" s="8">
        <f>IFERROR(VLOOKUP($B61,Tecnicos!$E$1:$M$26,9,0)*J61,)</f>
        <v>0</v>
      </c>
    </row>
    <row r="62" spans="1:15" x14ac:dyDescent="0.35">
      <c r="A62" s="18" t="s">
        <v>117</v>
      </c>
      <c r="B62" s="18" t="s">
        <v>108</v>
      </c>
      <c r="C62" s="18"/>
      <c r="D62" s="18" t="s">
        <v>126</v>
      </c>
      <c r="E62" s="18" t="s">
        <v>108</v>
      </c>
      <c r="F62" s="18" t="s">
        <v>65</v>
      </c>
      <c r="G62" s="18">
        <v>1</v>
      </c>
      <c r="H62" s="18"/>
      <c r="I62" s="18"/>
      <c r="J62" s="4"/>
      <c r="K62" s="8">
        <f t="shared" si="3"/>
        <v>5447.909090909091</v>
      </c>
      <c r="L62" s="8">
        <f>IFERROR(VLOOKUP($B62,Tecnicos!$E$1:$M$26,9,0)*G62,)</f>
        <v>5447.909090909091</v>
      </c>
      <c r="M62" s="8">
        <f>IFERROR(VLOOKUP($B62,Tecnicos!$E$1:$M$26,9,0)*H62,)</f>
        <v>0</v>
      </c>
      <c r="N62" s="8">
        <f>IFERROR(VLOOKUP($B62,Tecnicos!$E$1:$M$26,9,0)*I62,)</f>
        <v>0</v>
      </c>
      <c r="O62" s="8">
        <f>IFERROR(VLOOKUP($B62,Tecnicos!$E$1:$M$26,9,0)*J62,)</f>
        <v>0</v>
      </c>
    </row>
    <row r="63" spans="1:15" x14ac:dyDescent="0.35">
      <c r="A63" s="19" t="s">
        <v>109</v>
      </c>
      <c r="B63" s="19" t="s">
        <v>98</v>
      </c>
      <c r="C63" s="19"/>
      <c r="D63" s="19" t="s">
        <v>126</v>
      </c>
      <c r="E63" s="19" t="s">
        <v>98</v>
      </c>
      <c r="F63" s="19" t="s">
        <v>76</v>
      </c>
      <c r="G63" s="18">
        <v>5</v>
      </c>
      <c r="H63" s="18">
        <v>5</v>
      </c>
      <c r="I63" s="18"/>
      <c r="J63" s="4"/>
      <c r="K63" s="8">
        <f t="shared" si="3"/>
        <v>194568.18181818182</v>
      </c>
      <c r="L63" s="8">
        <f>IFERROR(VLOOKUP($B63,Tecnicos!$E$1:$M$26,9,0)*G63,)</f>
        <v>19456.818181818184</v>
      </c>
      <c r="M63" s="8">
        <f>IFERROR(VLOOKUP($B63,Tecnicos!$E$1:$M$26,9,0)*H63,)</f>
        <v>19456.818181818184</v>
      </c>
      <c r="N63" s="8">
        <f>IFERROR(VLOOKUP($B63,Tecnicos!$E$1:$M$26,9,0)*I63,)</f>
        <v>0</v>
      </c>
      <c r="O63" s="8">
        <f>IFERROR(VLOOKUP($B63,Tecnicos!$E$1:$M$26,9,0)*J63,)</f>
        <v>0</v>
      </c>
    </row>
    <row r="64" spans="1:15" x14ac:dyDescent="0.35">
      <c r="A64" s="19" t="s">
        <v>111</v>
      </c>
      <c r="B64" s="19" t="s">
        <v>99</v>
      </c>
      <c r="C64" s="19"/>
      <c r="D64" s="19" t="s">
        <v>126</v>
      </c>
      <c r="E64" s="19" t="s">
        <v>99</v>
      </c>
      <c r="F64" s="19" t="s">
        <v>76</v>
      </c>
      <c r="G64" s="18">
        <v>5</v>
      </c>
      <c r="H64" s="18">
        <v>5</v>
      </c>
      <c r="I64" s="18"/>
      <c r="J64" s="4"/>
      <c r="K64" s="8">
        <f t="shared" si="3"/>
        <v>194568.18181818182</v>
      </c>
      <c r="L64" s="8">
        <f>IFERROR(VLOOKUP($B64,Tecnicos!$E$1:$M$26,9,0)*G64,)</f>
        <v>19456.818181818184</v>
      </c>
      <c r="M64" s="8">
        <f>IFERROR(VLOOKUP($B64,Tecnicos!$E$1:$M$26,9,0)*H64,)</f>
        <v>19456.818181818184</v>
      </c>
      <c r="N64" s="8">
        <f>IFERROR(VLOOKUP($B64,Tecnicos!$E$1:$M$26,9,0)*I64,)</f>
        <v>0</v>
      </c>
      <c r="O64" s="8">
        <f>IFERROR(VLOOKUP($B64,Tecnicos!$E$1:$M$26,9,0)*J64,)</f>
        <v>0</v>
      </c>
    </row>
    <row r="65" spans="1:15" x14ac:dyDescent="0.35">
      <c r="A65" s="19" t="s">
        <v>113</v>
      </c>
      <c r="B65" s="19" t="s">
        <v>100</v>
      </c>
      <c r="C65" s="19"/>
      <c r="D65" s="19" t="s">
        <v>126</v>
      </c>
      <c r="E65" s="19" t="s">
        <v>100</v>
      </c>
      <c r="F65" s="19" t="s">
        <v>76</v>
      </c>
      <c r="G65" s="18">
        <v>3</v>
      </c>
      <c r="H65" s="18">
        <v>3</v>
      </c>
      <c r="I65" s="18"/>
      <c r="J65" s="4"/>
      <c r="K65" s="8">
        <f t="shared" si="3"/>
        <v>70044.545454545456</v>
      </c>
      <c r="L65" s="8">
        <f>IFERROR(VLOOKUP($B65,Tecnicos!$E$1:$M$26,9,0)*G65,)</f>
        <v>11674.09090909091</v>
      </c>
      <c r="M65" s="8">
        <f>IFERROR(VLOOKUP($B65,Tecnicos!$E$1:$M$26,9,0)*H65,)</f>
        <v>11674.09090909091</v>
      </c>
      <c r="N65" s="8">
        <f>IFERROR(VLOOKUP($B65,Tecnicos!$E$1:$M$26,9,0)*I65,)</f>
        <v>0</v>
      </c>
      <c r="O65" s="8">
        <f>IFERROR(VLOOKUP($B65,Tecnicos!$E$1:$M$26,9,0)*J65,)</f>
        <v>0</v>
      </c>
    </row>
    <row r="66" spans="1:15" x14ac:dyDescent="0.35">
      <c r="A66" s="19" t="s">
        <v>115</v>
      </c>
      <c r="B66" s="19" t="s">
        <v>101</v>
      </c>
      <c r="C66" s="19"/>
      <c r="D66" s="19" t="s">
        <v>126</v>
      </c>
      <c r="E66" s="19" t="s">
        <v>101</v>
      </c>
      <c r="F66" s="19" t="s">
        <v>76</v>
      </c>
      <c r="G66" s="18">
        <v>1</v>
      </c>
      <c r="H66" s="18">
        <v>1</v>
      </c>
      <c r="I66" s="18"/>
      <c r="J66" s="4"/>
      <c r="K66" s="8">
        <f t="shared" si="3"/>
        <v>11518.436363636365</v>
      </c>
      <c r="L66" s="8">
        <f>IFERROR(VLOOKUP($B66,Tecnicos!$E$1:$M$26,9,0)*G66,)</f>
        <v>5759.2181818181825</v>
      </c>
      <c r="M66" s="8">
        <f>IFERROR(VLOOKUP($B66,Tecnicos!$E$1:$M$26,9,0)*H66,)</f>
        <v>5759.2181818181825</v>
      </c>
      <c r="N66" s="8">
        <f>IFERROR(VLOOKUP($B66,Tecnicos!$E$1:$M$26,9,0)*I66,)</f>
        <v>0</v>
      </c>
      <c r="O66" s="8">
        <f>IFERROR(VLOOKUP($B66,Tecnicos!$E$1:$M$26,9,0)*J66,)</f>
        <v>0</v>
      </c>
    </row>
    <row r="67" spans="1:15" x14ac:dyDescent="0.35">
      <c r="A67" s="19" t="s">
        <v>117</v>
      </c>
      <c r="B67" s="19" t="s">
        <v>108</v>
      </c>
      <c r="C67" s="19"/>
      <c r="D67" s="19" t="s">
        <v>126</v>
      </c>
      <c r="E67" s="19" t="s">
        <v>108</v>
      </c>
      <c r="F67" s="19" t="s">
        <v>76</v>
      </c>
      <c r="G67" s="18">
        <v>1</v>
      </c>
      <c r="H67" s="18">
        <v>1</v>
      </c>
      <c r="I67" s="18"/>
      <c r="J67" s="4"/>
      <c r="K67" s="8">
        <f t="shared" si="3"/>
        <v>10895.818181818182</v>
      </c>
      <c r="L67" s="8">
        <f>IFERROR(VLOOKUP($B67,Tecnicos!$E$1:$M$26,9,0)*G67,)</f>
        <v>5447.909090909091</v>
      </c>
      <c r="M67" s="8">
        <f>IFERROR(VLOOKUP($B67,Tecnicos!$E$1:$M$26,9,0)*H67,)</f>
        <v>5447.909090909091</v>
      </c>
      <c r="N67" s="8">
        <f>IFERROR(VLOOKUP($B67,Tecnicos!$E$1:$M$26,9,0)*I67,)</f>
        <v>0</v>
      </c>
      <c r="O67" s="8">
        <f>IFERROR(VLOOKUP($B67,Tecnicos!$E$1:$M$26,9,0)*J67,)</f>
        <v>0</v>
      </c>
    </row>
    <row r="68" spans="1:15" x14ac:dyDescent="0.35">
      <c r="A68" s="19" t="s">
        <v>119</v>
      </c>
      <c r="B68" s="19" t="s">
        <v>102</v>
      </c>
      <c r="C68" s="19"/>
      <c r="D68" s="19" t="s">
        <v>126</v>
      </c>
      <c r="E68" s="19" t="s">
        <v>102</v>
      </c>
      <c r="F68" s="19" t="s">
        <v>76</v>
      </c>
      <c r="G68" s="18">
        <v>6</v>
      </c>
      <c r="H68" s="18">
        <v>6</v>
      </c>
      <c r="I68" s="18"/>
      <c r="J68" s="4"/>
      <c r="K68" s="8">
        <f t="shared" si="3"/>
        <v>127843.72363636363</v>
      </c>
      <c r="L68" s="8">
        <f>IFERROR(VLOOKUP($B68,Tecnicos!$E$1:$M$26,9,0)*G68,)</f>
        <v>10653.643636363637</v>
      </c>
      <c r="M68" s="8">
        <f>IFERROR(VLOOKUP($B68,Tecnicos!$E$1:$M$26,9,0)*H68,)</f>
        <v>10653.643636363637</v>
      </c>
      <c r="N68" s="8">
        <f>IFERROR(VLOOKUP($B68,Tecnicos!$E$1:$M$26,9,0)*I68,)</f>
        <v>0</v>
      </c>
      <c r="O68" s="8">
        <f>IFERROR(VLOOKUP($B68,Tecnicos!$E$1:$M$26,9,0)*J68,)</f>
        <v>0</v>
      </c>
    </row>
    <row r="69" spans="1:15" x14ac:dyDescent="0.35">
      <c r="A69" s="18" t="s">
        <v>109</v>
      </c>
      <c r="B69" s="18" t="s">
        <v>98</v>
      </c>
      <c r="C69" s="18"/>
      <c r="D69" s="18" t="s">
        <v>126</v>
      </c>
      <c r="E69" s="18" t="s">
        <v>98</v>
      </c>
      <c r="F69" s="18" t="s">
        <v>77</v>
      </c>
      <c r="G69" s="18"/>
      <c r="H69" s="18">
        <v>5</v>
      </c>
      <c r="I69" s="18">
        <v>3</v>
      </c>
      <c r="J69" s="4"/>
      <c r="K69" s="8">
        <f t="shared" si="3"/>
        <v>0</v>
      </c>
      <c r="L69" s="8">
        <f>IFERROR(VLOOKUP($B69,Tecnicos!$E$1:$M$26,9,0)*G69,)</f>
        <v>0</v>
      </c>
      <c r="M69" s="8">
        <f>IFERROR(VLOOKUP($B69,Tecnicos!$E$1:$M$26,9,0)*H69,)</f>
        <v>19456.818181818184</v>
      </c>
      <c r="N69" s="8">
        <f>IFERROR(VLOOKUP($B69,Tecnicos!$E$1:$M$26,9,0)*I69,)</f>
        <v>11674.09090909091</v>
      </c>
      <c r="O69" s="8">
        <f>IFERROR(VLOOKUP($B69,Tecnicos!$E$1:$M$26,9,0)*J69,)</f>
        <v>0</v>
      </c>
    </row>
    <row r="70" spans="1:15" x14ac:dyDescent="0.35">
      <c r="A70" s="18" t="s">
        <v>111</v>
      </c>
      <c r="B70" s="18" t="s">
        <v>99</v>
      </c>
      <c r="C70" s="18"/>
      <c r="D70" s="18" t="s">
        <v>126</v>
      </c>
      <c r="E70" s="18" t="s">
        <v>99</v>
      </c>
      <c r="F70" s="18" t="s">
        <v>77</v>
      </c>
      <c r="G70" s="18"/>
      <c r="H70" s="18">
        <v>5</v>
      </c>
      <c r="I70" s="18">
        <v>3</v>
      </c>
      <c r="J70" s="4"/>
      <c r="K70" s="8">
        <f t="shared" si="3"/>
        <v>0</v>
      </c>
      <c r="L70" s="8">
        <f>IFERROR(VLOOKUP($B70,Tecnicos!$E$1:$M$26,9,0)*G70,)</f>
        <v>0</v>
      </c>
      <c r="M70" s="8">
        <f>IFERROR(VLOOKUP($B70,Tecnicos!$E$1:$M$26,9,0)*H70,)</f>
        <v>19456.818181818184</v>
      </c>
      <c r="N70" s="8">
        <f>IFERROR(VLOOKUP($B70,Tecnicos!$E$1:$M$26,9,0)*I70,)</f>
        <v>11674.09090909091</v>
      </c>
      <c r="O70" s="8">
        <f>IFERROR(VLOOKUP($B70,Tecnicos!$E$1:$M$26,9,0)*J70,)</f>
        <v>0</v>
      </c>
    </row>
    <row r="71" spans="1:15" x14ac:dyDescent="0.35">
      <c r="A71" s="18" t="s">
        <v>113</v>
      </c>
      <c r="B71" s="18" t="s">
        <v>100</v>
      </c>
      <c r="C71" s="18"/>
      <c r="D71" s="18" t="s">
        <v>126</v>
      </c>
      <c r="E71" s="18" t="s">
        <v>100</v>
      </c>
      <c r="F71" s="18" t="s">
        <v>77</v>
      </c>
      <c r="G71" s="18"/>
      <c r="H71" s="18">
        <v>3</v>
      </c>
      <c r="I71" s="18">
        <v>3</v>
      </c>
      <c r="J71" s="4"/>
      <c r="K71" s="8">
        <f t="shared" si="3"/>
        <v>0</v>
      </c>
      <c r="L71" s="8">
        <f>IFERROR(VLOOKUP($B71,Tecnicos!$E$1:$M$26,9,0)*G71,)</f>
        <v>0</v>
      </c>
      <c r="M71" s="8">
        <f>IFERROR(VLOOKUP($B71,Tecnicos!$E$1:$M$26,9,0)*H71,)</f>
        <v>11674.09090909091</v>
      </c>
      <c r="N71" s="8">
        <f>IFERROR(VLOOKUP($B71,Tecnicos!$E$1:$M$26,9,0)*I71,)</f>
        <v>11674.09090909091</v>
      </c>
      <c r="O71" s="8">
        <f>IFERROR(VLOOKUP($B71,Tecnicos!$E$1:$M$26,9,0)*J71,)</f>
        <v>0</v>
      </c>
    </row>
    <row r="72" spans="1:15" x14ac:dyDescent="0.35">
      <c r="A72" s="18" t="s">
        <v>115</v>
      </c>
      <c r="B72" s="18" t="s">
        <v>101</v>
      </c>
      <c r="C72" s="18"/>
      <c r="D72" s="18" t="s">
        <v>126</v>
      </c>
      <c r="E72" s="18" t="s">
        <v>101</v>
      </c>
      <c r="F72" s="18" t="s">
        <v>77</v>
      </c>
      <c r="G72" s="18"/>
      <c r="H72" s="18">
        <v>1</v>
      </c>
      <c r="I72" s="18">
        <v>1</v>
      </c>
      <c r="J72" s="4"/>
      <c r="K72" s="8">
        <f t="shared" si="3"/>
        <v>0</v>
      </c>
      <c r="L72" s="8">
        <f>IFERROR(VLOOKUP($B72,Tecnicos!$E$1:$M$26,9,0)*G72,)</f>
        <v>0</v>
      </c>
      <c r="M72" s="8">
        <f>IFERROR(VLOOKUP($B72,Tecnicos!$E$1:$M$26,9,0)*H72,)</f>
        <v>5759.2181818181825</v>
      </c>
      <c r="N72" s="8">
        <f>IFERROR(VLOOKUP($B72,Tecnicos!$E$1:$M$26,9,0)*I72,)</f>
        <v>5759.2181818181825</v>
      </c>
      <c r="O72" s="8">
        <f>IFERROR(VLOOKUP($B72,Tecnicos!$E$1:$M$26,9,0)*J72,)</f>
        <v>0</v>
      </c>
    </row>
    <row r="73" spans="1:15" x14ac:dyDescent="0.35">
      <c r="A73" s="18" t="s">
        <v>117</v>
      </c>
      <c r="B73" s="18" t="s">
        <v>108</v>
      </c>
      <c r="C73" s="18"/>
      <c r="D73" s="18" t="s">
        <v>126</v>
      </c>
      <c r="E73" s="18" t="s">
        <v>108</v>
      </c>
      <c r="F73" s="18" t="s">
        <v>77</v>
      </c>
      <c r="G73" s="18"/>
      <c r="H73" s="18">
        <v>1</v>
      </c>
      <c r="I73" s="18">
        <v>1</v>
      </c>
      <c r="J73" s="4"/>
      <c r="K73" s="8">
        <f t="shared" si="3"/>
        <v>0</v>
      </c>
      <c r="L73" s="8">
        <f>IFERROR(VLOOKUP($B73,Tecnicos!$E$1:$M$26,9,0)*G73,)</f>
        <v>0</v>
      </c>
      <c r="M73" s="8">
        <f>IFERROR(VLOOKUP($B73,Tecnicos!$E$1:$M$26,9,0)*H73,)</f>
        <v>5447.909090909091</v>
      </c>
      <c r="N73" s="8">
        <f>IFERROR(VLOOKUP($B73,Tecnicos!$E$1:$M$26,9,0)*I73,)</f>
        <v>5447.909090909091</v>
      </c>
      <c r="O73" s="8">
        <f>IFERROR(VLOOKUP($B73,Tecnicos!$E$1:$M$26,9,0)*J73,)</f>
        <v>0</v>
      </c>
    </row>
    <row r="74" spans="1:15" x14ac:dyDescent="0.35">
      <c r="A74" s="18" t="s">
        <v>121</v>
      </c>
      <c r="B74" s="18" t="s">
        <v>103</v>
      </c>
      <c r="C74" s="18"/>
      <c r="D74" s="18" t="s">
        <v>126</v>
      </c>
      <c r="E74" s="18" t="s">
        <v>103</v>
      </c>
      <c r="F74" s="18" t="s">
        <v>77</v>
      </c>
      <c r="G74" s="18"/>
      <c r="H74" s="18">
        <v>6</v>
      </c>
      <c r="I74" s="18">
        <v>3</v>
      </c>
      <c r="J74" s="4"/>
      <c r="K74" s="8">
        <f t="shared" si="3"/>
        <v>0</v>
      </c>
      <c r="L74" s="8">
        <f>IFERROR(VLOOKUP($B74,Tecnicos!$E$1:$M$26,9,0)*G74,)</f>
        <v>0</v>
      </c>
      <c r="M74" s="8">
        <f>IFERROR(VLOOKUP($B74,Tecnicos!$E$1:$M$26,9,0)*H74,)</f>
        <v>10653.643636363637</v>
      </c>
      <c r="N74" s="8">
        <f>IFERROR(VLOOKUP($B74,Tecnicos!$E$1:$M$26,9,0)*I74,)</f>
        <v>5326.8218181818183</v>
      </c>
      <c r="O74" s="8">
        <f>IFERROR(VLOOKUP($B74,Tecnicos!$E$1:$M$26,9,0)*J74,)</f>
        <v>0</v>
      </c>
    </row>
    <row r="75" spans="1:15" x14ac:dyDescent="0.35">
      <c r="A75" s="19" t="s">
        <v>109</v>
      </c>
      <c r="B75" s="19" t="s">
        <v>98</v>
      </c>
      <c r="C75" s="19"/>
      <c r="D75" s="19" t="s">
        <v>126</v>
      </c>
      <c r="E75" s="19" t="s">
        <v>98</v>
      </c>
      <c r="F75" s="20" t="s">
        <v>78</v>
      </c>
      <c r="G75" s="18"/>
      <c r="H75" s="18"/>
      <c r="I75" s="18">
        <v>3</v>
      </c>
      <c r="J75" s="4"/>
      <c r="K75" s="8">
        <f t="shared" si="3"/>
        <v>0</v>
      </c>
      <c r="L75" s="8">
        <f>IFERROR(VLOOKUP($B75,Tecnicos!$E$1:$M$26,9,0)*G75,)</f>
        <v>0</v>
      </c>
      <c r="M75" s="8">
        <f>IFERROR(VLOOKUP($B75,Tecnicos!$E$1:$M$26,9,0)*H75,)</f>
        <v>0</v>
      </c>
      <c r="N75" s="8">
        <f>IFERROR(VLOOKUP($B75,Tecnicos!$E$1:$M$26,9,0)*I75,)</f>
        <v>11674.09090909091</v>
      </c>
      <c r="O75" s="8">
        <f>IFERROR(VLOOKUP($B75,Tecnicos!$E$1:$M$26,9,0)*J75,)</f>
        <v>0</v>
      </c>
    </row>
    <row r="76" spans="1:15" x14ac:dyDescent="0.35">
      <c r="A76" s="19" t="s">
        <v>111</v>
      </c>
      <c r="B76" s="19" t="s">
        <v>99</v>
      </c>
      <c r="C76" s="19"/>
      <c r="D76" s="19" t="s">
        <v>126</v>
      </c>
      <c r="E76" s="19" t="s">
        <v>99</v>
      </c>
      <c r="F76" s="20" t="s">
        <v>78</v>
      </c>
      <c r="G76" s="18"/>
      <c r="H76" s="18"/>
      <c r="I76" s="18">
        <v>2</v>
      </c>
      <c r="J76" s="4"/>
      <c r="K76" s="8">
        <f t="shared" si="3"/>
        <v>0</v>
      </c>
      <c r="L76" s="8">
        <f>IFERROR(VLOOKUP($B76,Tecnicos!$E$1:$M$26,9,0)*G76,)</f>
        <v>0</v>
      </c>
      <c r="M76" s="8">
        <f>IFERROR(VLOOKUP($B76,Tecnicos!$E$1:$M$26,9,0)*H76,)</f>
        <v>0</v>
      </c>
      <c r="N76" s="8">
        <f>IFERROR(VLOOKUP($B76,Tecnicos!$E$1:$M$26,9,0)*I76,)</f>
        <v>7782.727272727273</v>
      </c>
      <c r="O76" s="8">
        <f>IFERROR(VLOOKUP($B76,Tecnicos!$E$1:$M$26,9,0)*J76,)</f>
        <v>0</v>
      </c>
    </row>
    <row r="77" spans="1:15" x14ac:dyDescent="0.35">
      <c r="A77" s="19" t="s">
        <v>113</v>
      </c>
      <c r="B77" s="19" t="s">
        <v>100</v>
      </c>
      <c r="C77" s="19"/>
      <c r="D77" s="19" t="s">
        <v>126</v>
      </c>
      <c r="E77" s="19" t="s">
        <v>100</v>
      </c>
      <c r="F77" s="20" t="s">
        <v>78</v>
      </c>
      <c r="G77" s="18"/>
      <c r="H77" s="18"/>
      <c r="I77" s="18">
        <v>3</v>
      </c>
      <c r="J77" s="4"/>
      <c r="K77" s="8">
        <f t="shared" si="3"/>
        <v>0</v>
      </c>
      <c r="L77" s="8">
        <f>IFERROR(VLOOKUP($B77,Tecnicos!$E$1:$M$26,9,0)*G77,)</f>
        <v>0</v>
      </c>
      <c r="M77" s="8">
        <f>IFERROR(VLOOKUP($B77,Tecnicos!$E$1:$M$26,9,0)*H77,)</f>
        <v>0</v>
      </c>
      <c r="N77" s="8">
        <f>IFERROR(VLOOKUP($B77,Tecnicos!$E$1:$M$26,9,0)*I77,)</f>
        <v>11674.09090909091</v>
      </c>
      <c r="O77" s="8">
        <f>IFERROR(VLOOKUP($B77,Tecnicos!$E$1:$M$26,9,0)*J77,)</f>
        <v>0</v>
      </c>
    </row>
    <row r="78" spans="1:15" x14ac:dyDescent="0.35">
      <c r="A78" s="19" t="s">
        <v>115</v>
      </c>
      <c r="B78" s="19" t="s">
        <v>101</v>
      </c>
      <c r="C78" s="19"/>
      <c r="D78" s="19" t="s">
        <v>126</v>
      </c>
      <c r="E78" s="19" t="s">
        <v>101</v>
      </c>
      <c r="F78" s="20" t="s">
        <v>78</v>
      </c>
      <c r="G78" s="18"/>
      <c r="H78" s="18"/>
      <c r="I78" s="18">
        <v>1</v>
      </c>
      <c r="J78" s="4"/>
      <c r="K78" s="8">
        <f t="shared" si="3"/>
        <v>0</v>
      </c>
      <c r="L78" s="8">
        <f>IFERROR(VLOOKUP($B78,Tecnicos!$E$1:$M$26,9,0)*G78,)</f>
        <v>0</v>
      </c>
      <c r="M78" s="8">
        <f>IFERROR(VLOOKUP($B78,Tecnicos!$E$1:$M$26,9,0)*H78,)</f>
        <v>0</v>
      </c>
      <c r="N78" s="8">
        <f>IFERROR(VLOOKUP($B78,Tecnicos!$E$1:$M$26,9,0)*I78,)</f>
        <v>5759.2181818181825</v>
      </c>
      <c r="O78" s="8">
        <f>IFERROR(VLOOKUP($B78,Tecnicos!$E$1:$M$26,9,0)*J78,)</f>
        <v>0</v>
      </c>
    </row>
    <row r="79" spans="1:15" x14ac:dyDescent="0.35">
      <c r="A79" s="19" t="s">
        <v>117</v>
      </c>
      <c r="B79" s="19" t="s">
        <v>108</v>
      </c>
      <c r="C79" s="19"/>
      <c r="D79" s="19" t="s">
        <v>126</v>
      </c>
      <c r="E79" s="19" t="s">
        <v>108</v>
      </c>
      <c r="F79" s="20" t="s">
        <v>78</v>
      </c>
      <c r="G79" s="18"/>
      <c r="H79" s="18"/>
      <c r="I79" s="18">
        <v>1</v>
      </c>
      <c r="J79" s="4"/>
      <c r="K79" s="8">
        <f t="shared" si="3"/>
        <v>0</v>
      </c>
      <c r="L79" s="8">
        <f>IFERROR(VLOOKUP($B79,Tecnicos!$E$1:$M$26,9,0)*G79,)</f>
        <v>0</v>
      </c>
      <c r="M79" s="8">
        <f>IFERROR(VLOOKUP($B79,Tecnicos!$E$1:$M$26,9,0)*H79,)</f>
        <v>0</v>
      </c>
      <c r="N79" s="8">
        <f>IFERROR(VLOOKUP($B79,Tecnicos!$E$1:$M$26,9,0)*I79,)</f>
        <v>5447.909090909091</v>
      </c>
      <c r="O79" s="8">
        <f>IFERROR(VLOOKUP($B79,Tecnicos!$E$1:$M$26,9,0)*J79,)</f>
        <v>0</v>
      </c>
    </row>
    <row r="80" spans="1:15" x14ac:dyDescent="0.35">
      <c r="A80" s="19" t="s">
        <v>121</v>
      </c>
      <c r="B80" s="19" t="s">
        <v>103</v>
      </c>
      <c r="C80" s="19"/>
      <c r="D80" s="19" t="s">
        <v>126</v>
      </c>
      <c r="E80" s="19" t="s">
        <v>103</v>
      </c>
      <c r="F80" s="20" t="s">
        <v>78</v>
      </c>
      <c r="G80" s="18"/>
      <c r="H80" s="18"/>
      <c r="I80" s="18">
        <v>3</v>
      </c>
      <c r="J80" s="4"/>
      <c r="K80" s="8">
        <f t="shared" si="3"/>
        <v>0</v>
      </c>
      <c r="L80" s="8">
        <f>IFERROR(VLOOKUP($B80,Tecnicos!$E$1:$M$26,9,0)*G80,)</f>
        <v>0</v>
      </c>
      <c r="M80" s="8">
        <f>IFERROR(VLOOKUP($B80,Tecnicos!$E$1:$M$26,9,0)*H80,)</f>
        <v>0</v>
      </c>
      <c r="N80" s="8">
        <f>IFERROR(VLOOKUP($B80,Tecnicos!$E$1:$M$26,9,0)*I80,)</f>
        <v>5326.8218181818183</v>
      </c>
      <c r="O80" s="8">
        <f>IFERROR(VLOOKUP($B80,Tecnicos!$E$1:$M$26,9,0)*J80,)</f>
        <v>0</v>
      </c>
    </row>
    <row r="81" spans="1:18" x14ac:dyDescent="0.35">
      <c r="A81" s="18" t="s">
        <v>64</v>
      </c>
      <c r="B81" s="18" t="s">
        <v>34</v>
      </c>
      <c r="C81" s="18"/>
      <c r="D81" s="18" t="s">
        <v>126</v>
      </c>
      <c r="E81" s="18" t="s">
        <v>34</v>
      </c>
      <c r="F81" s="18" t="s">
        <v>79</v>
      </c>
      <c r="G81" s="18"/>
      <c r="H81" s="18"/>
      <c r="I81" s="18"/>
      <c r="J81" s="4"/>
      <c r="K81" s="8">
        <f t="shared" si="3"/>
        <v>0</v>
      </c>
      <c r="L81" s="8">
        <f>IFERROR(VLOOKUP($B81,Tecnicos!$E$1:$M$26,9,0)*G81,)</f>
        <v>0</v>
      </c>
      <c r="M81" s="8">
        <f>IFERROR(VLOOKUP($B81,Tecnicos!$E$1:$M$26,9,0)*H81,)</f>
        <v>0</v>
      </c>
      <c r="N81" s="8">
        <f>IFERROR(VLOOKUP($B81,Tecnicos!$E$1:$M$26,9,0)*I81,)</f>
        <v>0</v>
      </c>
      <c r="O81" s="8">
        <f>IFERROR(VLOOKUP($B81,Tecnicos!$E$1:$M$26,9,0)*J81,)</f>
        <v>0</v>
      </c>
    </row>
    <row r="82" spans="1:18" x14ac:dyDescent="0.35">
      <c r="A82" s="18" t="s">
        <v>66</v>
      </c>
      <c r="B82" s="18" t="s">
        <v>37</v>
      </c>
      <c r="C82" s="18"/>
      <c r="D82" s="18" t="s">
        <v>126</v>
      </c>
      <c r="E82" s="18" t="s">
        <v>37</v>
      </c>
      <c r="F82" s="18" t="s">
        <v>79</v>
      </c>
      <c r="G82" s="18"/>
      <c r="H82" s="18"/>
      <c r="I82" s="18"/>
      <c r="J82" s="4"/>
      <c r="K82" s="8">
        <f t="shared" si="3"/>
        <v>0</v>
      </c>
      <c r="L82" s="8">
        <f>IFERROR(VLOOKUP($B82,Tecnicos!$E$1:$M$26,9,0)*G82,)</f>
        <v>0</v>
      </c>
      <c r="M82" s="8">
        <f>IFERROR(VLOOKUP($B82,Tecnicos!$E$1:$M$26,9,0)*H82,)</f>
        <v>0</v>
      </c>
      <c r="N82" s="8">
        <f>IFERROR(VLOOKUP($B82,Tecnicos!$E$1:$M$26,9,0)*I82,)</f>
        <v>0</v>
      </c>
      <c r="O82" s="8">
        <f>IFERROR(VLOOKUP($B82,Tecnicos!$E$1:$M$26,9,0)*J82,)</f>
        <v>0</v>
      </c>
    </row>
    <row r="83" spans="1:18" x14ac:dyDescent="0.35">
      <c r="A83" s="18" t="s">
        <v>67</v>
      </c>
      <c r="B83" s="18" t="s">
        <v>38</v>
      </c>
      <c r="C83" s="18"/>
      <c r="D83" s="18" t="s">
        <v>126</v>
      </c>
      <c r="E83" s="18" t="s">
        <v>38</v>
      </c>
      <c r="F83" s="18" t="s">
        <v>79</v>
      </c>
      <c r="G83" s="18"/>
      <c r="H83" s="18"/>
      <c r="I83" s="18"/>
      <c r="J83" s="4"/>
      <c r="K83" s="8">
        <f t="shared" si="3"/>
        <v>0</v>
      </c>
      <c r="L83" s="8">
        <f>IFERROR(VLOOKUP($B83,Tecnicos!$E$1:$M$26,9,0)*G83,)</f>
        <v>0</v>
      </c>
      <c r="M83" s="8">
        <f>IFERROR(VLOOKUP($B83,Tecnicos!$E$1:$M$26,9,0)*H83,)</f>
        <v>0</v>
      </c>
      <c r="N83" s="8">
        <f>IFERROR(VLOOKUP($B83,Tecnicos!$E$1:$M$26,9,0)*I83,)</f>
        <v>0</v>
      </c>
      <c r="O83" s="8">
        <f>IFERROR(VLOOKUP($B83,Tecnicos!$E$1:$M$26,9,0)*J83,)</f>
        <v>0</v>
      </c>
    </row>
    <row r="84" spans="1:18" x14ac:dyDescent="0.35">
      <c r="A84" s="18" t="s">
        <v>68</v>
      </c>
      <c r="B84" s="18" t="s">
        <v>39</v>
      </c>
      <c r="C84" s="18"/>
      <c r="D84" s="18" t="s">
        <v>126</v>
      </c>
      <c r="E84" s="18" t="s">
        <v>39</v>
      </c>
      <c r="F84" s="18" t="s">
        <v>79</v>
      </c>
      <c r="G84" s="18"/>
      <c r="H84" s="18"/>
      <c r="I84" s="18"/>
      <c r="J84" s="4"/>
      <c r="K84" s="8">
        <f t="shared" si="3"/>
        <v>0</v>
      </c>
      <c r="L84" s="8">
        <f>IFERROR(VLOOKUP($B84,Tecnicos!$E$1:$M$26,9,0)*G84,)</f>
        <v>0</v>
      </c>
      <c r="M84" s="8">
        <f>IFERROR(VLOOKUP($B84,Tecnicos!$E$1:$M$26,9,0)*H84,)</f>
        <v>0</v>
      </c>
      <c r="N84" s="8">
        <f>IFERROR(VLOOKUP($B84,Tecnicos!$E$1:$M$26,9,0)*I84,)</f>
        <v>0</v>
      </c>
      <c r="O84" s="8">
        <f>IFERROR(VLOOKUP($B84,Tecnicos!$E$1:$M$26,9,0)*J84,)</f>
        <v>0</v>
      </c>
    </row>
    <row r="85" spans="1:18" x14ac:dyDescent="0.35">
      <c r="A85" s="18" t="s">
        <v>109</v>
      </c>
      <c r="B85" s="18" t="s">
        <v>98</v>
      </c>
      <c r="C85" s="18"/>
      <c r="D85" s="18" t="s">
        <v>126</v>
      </c>
      <c r="E85" s="18" t="s">
        <v>98</v>
      </c>
      <c r="F85" s="18" t="s">
        <v>79</v>
      </c>
      <c r="G85" s="18">
        <v>1</v>
      </c>
      <c r="H85" s="18">
        <v>1</v>
      </c>
      <c r="I85" s="18">
        <v>1</v>
      </c>
      <c r="J85" s="4"/>
      <c r="K85" s="8">
        <f t="shared" si="3"/>
        <v>11674.09090909091</v>
      </c>
      <c r="L85" s="8">
        <f>IFERROR(VLOOKUP($B85,Tecnicos!$E$1:$M$26,9,0)*G85,)</f>
        <v>3891.3636363636365</v>
      </c>
      <c r="M85" s="8">
        <f>IFERROR(VLOOKUP($B85,Tecnicos!$E$1:$M$26,9,0)*H85,)</f>
        <v>3891.3636363636365</v>
      </c>
      <c r="N85" s="8">
        <f>IFERROR(VLOOKUP($B85,Tecnicos!$E$1:$M$26,9,0)*I85,)</f>
        <v>3891.3636363636365</v>
      </c>
      <c r="O85" s="8">
        <f>IFERROR(VLOOKUP($B85,Tecnicos!$E$1:$M$26,9,0)*J85,)</f>
        <v>0</v>
      </c>
    </row>
    <row r="86" spans="1:18" x14ac:dyDescent="0.35">
      <c r="A86" s="18" t="s">
        <v>111</v>
      </c>
      <c r="B86" s="18" t="s">
        <v>99</v>
      </c>
      <c r="C86" s="18"/>
      <c r="D86" s="18" t="s">
        <v>126</v>
      </c>
      <c r="E86" s="18" t="s">
        <v>99</v>
      </c>
      <c r="F86" s="18" t="s">
        <v>79</v>
      </c>
      <c r="G86" s="18">
        <v>1</v>
      </c>
      <c r="H86" s="18">
        <v>1</v>
      </c>
      <c r="I86" s="18">
        <v>1</v>
      </c>
      <c r="J86" s="4"/>
      <c r="K86" s="8">
        <f t="shared" si="3"/>
        <v>11674.09090909091</v>
      </c>
      <c r="L86" s="8">
        <f>IFERROR(VLOOKUP($B86,Tecnicos!$E$1:$M$26,9,0)*G86,)</f>
        <v>3891.3636363636365</v>
      </c>
      <c r="M86" s="8">
        <f>IFERROR(VLOOKUP($B86,Tecnicos!$E$1:$M$26,9,0)*H86,)</f>
        <v>3891.3636363636365</v>
      </c>
      <c r="N86" s="8">
        <f>IFERROR(VLOOKUP($B86,Tecnicos!$E$1:$M$26,9,0)*I86,)</f>
        <v>3891.3636363636365</v>
      </c>
      <c r="O86" s="8">
        <f>IFERROR(VLOOKUP($B86,Tecnicos!$E$1:$M$26,9,0)*J86,)</f>
        <v>0</v>
      </c>
    </row>
    <row r="87" spans="1:18" x14ac:dyDescent="0.35">
      <c r="A87" s="18" t="s">
        <v>117</v>
      </c>
      <c r="B87" s="18" t="s">
        <v>108</v>
      </c>
      <c r="C87" s="18"/>
      <c r="D87" s="18" t="s">
        <v>126</v>
      </c>
      <c r="E87" s="18" t="s">
        <v>108</v>
      </c>
      <c r="F87" s="18" t="s">
        <v>79</v>
      </c>
      <c r="G87" s="18">
        <v>1</v>
      </c>
      <c r="H87" s="18">
        <v>1</v>
      </c>
      <c r="I87" s="18">
        <v>1</v>
      </c>
      <c r="J87" s="4"/>
      <c r="K87" s="8">
        <f t="shared" si="3"/>
        <v>16343.727272727272</v>
      </c>
      <c r="L87" s="8">
        <f>IFERROR(VLOOKUP($B87,Tecnicos!$E$1:$M$26,9,0)*G87,)</f>
        <v>5447.909090909091</v>
      </c>
      <c r="M87" s="8">
        <f>IFERROR(VLOOKUP($B87,Tecnicos!$E$1:$M$26,9,0)*H87,)</f>
        <v>5447.909090909091</v>
      </c>
      <c r="N87" s="8">
        <f>IFERROR(VLOOKUP($B87,Tecnicos!$E$1:$M$26,9,0)*I87,)</f>
        <v>5447.909090909091</v>
      </c>
      <c r="O87" s="8">
        <f>IFERROR(VLOOKUP($B87,Tecnicos!$E$1:$M$26,9,0)*J87,)</f>
        <v>0</v>
      </c>
    </row>
    <row r="88" spans="1:18" x14ac:dyDescent="0.35">
      <c r="A88" s="19" t="s">
        <v>115</v>
      </c>
      <c r="B88" s="19" t="s">
        <v>101</v>
      </c>
      <c r="C88" s="19"/>
      <c r="D88" s="19" t="s">
        <v>126</v>
      </c>
      <c r="E88" s="19" t="s">
        <v>101</v>
      </c>
      <c r="F88" s="19" t="s">
        <v>80</v>
      </c>
      <c r="G88" s="21">
        <v>1</v>
      </c>
      <c r="H88" s="21">
        <v>1</v>
      </c>
      <c r="I88" s="21">
        <v>1</v>
      </c>
      <c r="J88" s="4"/>
      <c r="K88" s="8">
        <f t="shared" si="3"/>
        <v>17277.654545454548</v>
      </c>
      <c r="L88" s="8">
        <f>IFERROR(VLOOKUP($B88,Tecnicos!$E$1:$M$26,9,0)*G88,)</f>
        <v>5759.2181818181825</v>
      </c>
      <c r="M88" s="8">
        <f>IFERROR(VLOOKUP($B88,Tecnicos!$E$1:$M$26,9,0)*H88,)</f>
        <v>5759.2181818181825</v>
      </c>
      <c r="N88" s="8">
        <f>IFERROR(VLOOKUP($B88,Tecnicos!$E$1:$M$26,9,0)*I88,)</f>
        <v>5759.2181818181825</v>
      </c>
      <c r="O88" s="8">
        <f>IFERROR(VLOOKUP($B88,Tecnicos!$E$1:$M$26,9,0)*J88,)</f>
        <v>0</v>
      </c>
    </row>
    <row r="89" spans="1:18" x14ac:dyDescent="0.35">
      <c r="A89" s="18"/>
      <c r="B89" s="18"/>
      <c r="C89" s="4"/>
      <c r="D89" s="18"/>
      <c r="E89" s="18"/>
      <c r="F89" s="18" t="s">
        <v>81</v>
      </c>
      <c r="G89" s="4"/>
      <c r="H89" s="4"/>
      <c r="I89" s="4"/>
      <c r="J89" s="4"/>
      <c r="K89" s="8"/>
      <c r="L89" s="8"/>
      <c r="M89" s="8"/>
      <c r="N89" s="8"/>
      <c r="O89" s="8"/>
    </row>
    <row r="90" spans="1:18" x14ac:dyDescent="0.35">
      <c r="K90" s="11" t="s">
        <v>82</v>
      </c>
      <c r="L90" s="17">
        <f>SUM(L2:L89)</f>
        <v>420997.37873454555</v>
      </c>
      <c r="M90" s="17">
        <f>SUM(M2:M89)</f>
        <v>431651.02237090911</v>
      </c>
      <c r="N90" s="17">
        <f>SUM(N2:N89)</f>
        <v>386503.26367163647</v>
      </c>
      <c r="O90" s="17">
        <f>SUM(O2:O89)</f>
        <v>0</v>
      </c>
      <c r="P90" s="17"/>
      <c r="Q90" s="17"/>
      <c r="R90" s="17">
        <f>SUM(L90:N90)</f>
        <v>1239151.6647770912</v>
      </c>
    </row>
    <row r="93" spans="1:18" x14ac:dyDescent="0.35">
      <c r="H93">
        <f>(G7+G8+G11)/SUM(G2:G11)</f>
        <v>0.2162162162162162</v>
      </c>
    </row>
    <row r="94" spans="1:18" x14ac:dyDescent="0.35">
      <c r="M94" s="42">
        <v>803820.67</v>
      </c>
      <c r="N94" s="43"/>
      <c r="O94" s="43">
        <f>M94+O96</f>
        <v>846068.00999999989</v>
      </c>
    </row>
    <row r="95" spans="1:18" x14ac:dyDescent="0.35">
      <c r="M95" s="42">
        <v>435330.99</v>
      </c>
      <c r="N95" s="43"/>
    </row>
    <row r="96" spans="1:18" x14ac:dyDescent="0.35">
      <c r="M96" s="42">
        <f>M95+M94</f>
        <v>1239151.6600000001</v>
      </c>
      <c r="N96">
        <v>1281399</v>
      </c>
      <c r="O96" s="43">
        <f>N96-M96</f>
        <v>42247.339999999851</v>
      </c>
    </row>
  </sheetData>
  <autoFilter ref="A1:R90" xr:uid="{3D42ED3E-8C69-45AC-8A46-270B22114136}"/>
  <phoneticPr fontId="4" type="noConversion"/>
  <dataValidations disablePrompts="1" count="1">
    <dataValidation type="decimal" operator="lessThanOrEqual" allowBlank="1" showInputMessage="1" showErrorMessage="1" sqref="G89:I89 J2:J89" xr:uid="{02D1BF00-21F9-4A19-BE02-6D8DCF2D132B}">
      <formula1>11</formula1>
    </dataValidation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53C2ECD-D3C1-44A4-9BA0-C8D53FC4C982}">
          <x14:formula1>
            <xm:f>Tecnicos!$E$2:$E$26</xm:f>
          </x14:formula1>
          <xm:sqref>C89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C85C-7843-4166-A1EF-69F19AD13FCD}">
  <dimension ref="A1:W39"/>
  <sheetViews>
    <sheetView tabSelected="1" workbookViewId="0">
      <pane xSplit="7" ySplit="8" topLeftCell="H9" activePane="bottomRight" state="frozen"/>
      <selection pane="topRight" activeCell="H1" sqref="H1"/>
      <selection pane="bottomLeft" activeCell="A14" sqref="A14"/>
      <selection pane="bottomRight" activeCell="O40" sqref="O40"/>
    </sheetView>
  </sheetViews>
  <sheetFormatPr defaultRowHeight="14.5" x14ac:dyDescent="0.35"/>
  <cols>
    <col min="2" max="2" width="12.6328125" customWidth="1"/>
    <col min="3" max="3" width="8.453125" customWidth="1"/>
    <col min="4" max="4" width="16.08984375" customWidth="1"/>
    <col min="5" max="5" width="14.36328125" customWidth="1"/>
    <col min="6" max="6" width="53.453125" bestFit="1" customWidth="1"/>
    <col min="7" max="7" width="22.6328125" customWidth="1"/>
    <col min="8" max="8" width="28.36328125" customWidth="1"/>
    <col min="11" max="11" width="16.453125" customWidth="1"/>
    <col min="13" max="13" width="14" bestFit="1" customWidth="1"/>
    <col min="14" max="15" width="12.453125" bestFit="1" customWidth="1"/>
  </cols>
  <sheetData>
    <row r="1" spans="1:22" x14ac:dyDescent="0.35">
      <c r="A1" s="1" t="s">
        <v>21</v>
      </c>
      <c r="B1" s="1" t="s">
        <v>83</v>
      </c>
      <c r="C1" s="1" t="s">
        <v>50</v>
      </c>
      <c r="D1" s="1" t="s">
        <v>22</v>
      </c>
      <c r="E1" s="1" t="s">
        <v>53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2" t="s">
        <v>89</v>
      </c>
      <c r="L1" s="3" t="s">
        <v>90</v>
      </c>
      <c r="N1" s="44" t="s">
        <v>135</v>
      </c>
      <c r="O1" s="44" t="s">
        <v>136</v>
      </c>
    </row>
    <row r="2" spans="1:22" x14ac:dyDescent="0.35">
      <c r="A2" s="10"/>
      <c r="B2" s="10"/>
      <c r="C2" s="10"/>
      <c r="D2" s="10"/>
      <c r="E2" s="10"/>
      <c r="F2" s="10"/>
      <c r="G2" s="10"/>
      <c r="H2" s="10" t="s">
        <v>91</v>
      </c>
      <c r="I2" s="10">
        <v>2027</v>
      </c>
      <c r="J2" s="10"/>
      <c r="K2" s="36">
        <f>Pessoal!L90</f>
        <v>420997.37873454555</v>
      </c>
      <c r="L2" s="10"/>
    </row>
    <row r="3" spans="1:22" x14ac:dyDescent="0.35">
      <c r="A3" s="10"/>
      <c r="B3" s="10"/>
      <c r="C3" s="10"/>
      <c r="D3" s="10"/>
      <c r="E3" s="10"/>
      <c r="F3" s="10"/>
      <c r="G3" s="10"/>
      <c r="H3" s="10" t="s">
        <v>91</v>
      </c>
      <c r="I3" s="10">
        <v>2028</v>
      </c>
      <c r="J3" s="10"/>
      <c r="K3" s="36">
        <f>Pessoal!M90</f>
        <v>431651.02237090911</v>
      </c>
      <c r="L3" s="10"/>
    </row>
    <row r="4" spans="1:22" x14ac:dyDescent="0.35">
      <c r="A4" s="10"/>
      <c r="B4" s="10"/>
      <c r="C4" s="10"/>
      <c r="D4" s="10"/>
      <c r="E4" s="10"/>
      <c r="F4" s="10"/>
      <c r="G4" s="10"/>
      <c r="H4" s="10" t="s">
        <v>91</v>
      </c>
      <c r="I4" s="10">
        <v>2029</v>
      </c>
      <c r="J4" s="10"/>
      <c r="K4" s="36">
        <f>Pessoal!N90</f>
        <v>386503.26367163647</v>
      </c>
      <c r="L4" s="10"/>
    </row>
    <row r="5" spans="1:22" x14ac:dyDescent="0.35">
      <c r="A5" s="10"/>
      <c r="B5" s="10"/>
      <c r="C5" s="10"/>
      <c r="D5" s="10"/>
      <c r="E5" s="10"/>
      <c r="F5" s="10"/>
      <c r="G5" s="10"/>
      <c r="H5" s="10" t="s">
        <v>91</v>
      </c>
      <c r="I5" s="10">
        <v>2030</v>
      </c>
      <c r="J5" s="10"/>
      <c r="K5" s="36">
        <f>Pessoal!O90</f>
        <v>0</v>
      </c>
      <c r="L5" s="10"/>
      <c r="N5" s="42">
        <f>SUM(Pessoal!L2:O57)</f>
        <v>803820.67204981833</v>
      </c>
      <c r="O5" s="42">
        <f>SUM(Pessoal!L58:O88)</f>
        <v>435330.99272727297</v>
      </c>
    </row>
    <row r="6" spans="1:22" x14ac:dyDescent="0.35">
      <c r="A6" s="4"/>
      <c r="B6" s="4"/>
      <c r="C6" s="4"/>
      <c r="D6" s="4" t="s">
        <v>107</v>
      </c>
      <c r="E6" s="4" t="s">
        <v>92</v>
      </c>
      <c r="F6" s="19" t="s">
        <v>76</v>
      </c>
      <c r="G6" s="4"/>
      <c r="H6" s="4" t="s">
        <v>7</v>
      </c>
      <c r="I6" s="4">
        <v>2027</v>
      </c>
      <c r="J6" s="4">
        <v>4</v>
      </c>
      <c r="K6" s="37">
        <v>20000</v>
      </c>
      <c r="L6" s="4"/>
      <c r="N6" s="17">
        <f>K6</f>
        <v>20000</v>
      </c>
    </row>
    <row r="7" spans="1:22" x14ac:dyDescent="0.35">
      <c r="A7" s="4"/>
      <c r="B7" s="4"/>
      <c r="C7" s="4"/>
      <c r="D7" s="4" t="s">
        <v>107</v>
      </c>
      <c r="E7" s="4" t="s">
        <v>92</v>
      </c>
      <c r="F7" s="19" t="s">
        <v>76</v>
      </c>
      <c r="G7" s="4"/>
      <c r="H7" s="4" t="s">
        <v>8</v>
      </c>
      <c r="I7" s="4">
        <v>2027</v>
      </c>
      <c r="J7" s="4">
        <v>4</v>
      </c>
      <c r="K7" s="37">
        <v>15000</v>
      </c>
      <c r="L7" s="4"/>
      <c r="N7" s="17">
        <f t="shared" ref="N7:N16" si="0">K7</f>
        <v>15000</v>
      </c>
    </row>
    <row r="8" spans="1:22" x14ac:dyDescent="0.35">
      <c r="A8" s="4"/>
      <c r="B8" s="4"/>
      <c r="C8" s="4"/>
      <c r="D8" s="4" t="s">
        <v>107</v>
      </c>
      <c r="E8" s="4" t="s">
        <v>92</v>
      </c>
      <c r="F8" s="18" t="s">
        <v>77</v>
      </c>
      <c r="G8" s="4"/>
      <c r="H8" s="4" t="s">
        <v>8</v>
      </c>
      <c r="I8" s="4">
        <v>2028</v>
      </c>
      <c r="J8" s="4">
        <v>1</v>
      </c>
      <c r="K8" s="37">
        <v>15000</v>
      </c>
      <c r="L8" s="4"/>
      <c r="N8" s="17">
        <f t="shared" si="0"/>
        <v>15000</v>
      </c>
    </row>
    <row r="9" spans="1:22" x14ac:dyDescent="0.35">
      <c r="A9" s="4"/>
      <c r="B9" s="4"/>
      <c r="C9" s="4"/>
      <c r="D9" s="4" t="s">
        <v>107</v>
      </c>
      <c r="E9" s="4" t="s">
        <v>92</v>
      </c>
      <c r="F9" s="18" t="s">
        <v>77</v>
      </c>
      <c r="G9" s="4"/>
      <c r="H9" s="4" t="s">
        <v>8</v>
      </c>
      <c r="I9" s="4">
        <v>2029</v>
      </c>
      <c r="J9" s="4">
        <v>1</v>
      </c>
      <c r="K9" s="37">
        <v>15000</v>
      </c>
      <c r="L9" s="4"/>
      <c r="N9" s="17">
        <f t="shared" si="0"/>
        <v>15000</v>
      </c>
    </row>
    <row r="10" spans="1:22" x14ac:dyDescent="0.35">
      <c r="A10" s="4"/>
      <c r="B10" s="4"/>
      <c r="C10" s="4"/>
      <c r="D10" s="4" t="s">
        <v>107</v>
      </c>
      <c r="E10" s="4" t="s">
        <v>92</v>
      </c>
      <c r="F10" s="18" t="s">
        <v>79</v>
      </c>
      <c r="G10" s="4"/>
      <c r="H10" s="4" t="s">
        <v>14</v>
      </c>
      <c r="I10" s="4">
        <v>2028</v>
      </c>
      <c r="J10" s="4">
        <v>1</v>
      </c>
      <c r="K10" s="37">
        <v>1500</v>
      </c>
      <c r="L10" s="4"/>
      <c r="N10" s="17">
        <f t="shared" si="0"/>
        <v>1500</v>
      </c>
    </row>
    <row r="11" spans="1:22" x14ac:dyDescent="0.35">
      <c r="A11" s="4"/>
      <c r="B11" s="4"/>
      <c r="C11" s="4"/>
      <c r="D11" s="4" t="s">
        <v>107</v>
      </c>
      <c r="E11" s="4" t="s">
        <v>92</v>
      </c>
      <c r="F11" s="18" t="s">
        <v>79</v>
      </c>
      <c r="G11" s="4"/>
      <c r="H11" s="4" t="s">
        <v>14</v>
      </c>
      <c r="I11" s="4">
        <v>2029</v>
      </c>
      <c r="J11" s="4">
        <v>1</v>
      </c>
      <c r="K11" s="37">
        <v>1500</v>
      </c>
      <c r="L11" s="4"/>
      <c r="N11" s="17">
        <f t="shared" si="0"/>
        <v>1500</v>
      </c>
    </row>
    <row r="12" spans="1:22" x14ac:dyDescent="0.35">
      <c r="A12" s="4"/>
      <c r="B12" s="4"/>
      <c r="C12" s="4"/>
      <c r="D12" s="4" t="s">
        <v>107</v>
      </c>
      <c r="E12" s="4" t="s">
        <v>92</v>
      </c>
      <c r="F12" s="18" t="s">
        <v>79</v>
      </c>
      <c r="G12" s="4"/>
      <c r="H12" s="4" t="s">
        <v>16</v>
      </c>
      <c r="I12" s="4">
        <v>2028</v>
      </c>
      <c r="J12" s="4">
        <v>1</v>
      </c>
      <c r="K12" s="37">
        <v>2000</v>
      </c>
      <c r="L12" s="4"/>
      <c r="N12" s="17">
        <f t="shared" si="0"/>
        <v>2000</v>
      </c>
    </row>
    <row r="13" spans="1:22" x14ac:dyDescent="0.35">
      <c r="A13" s="4"/>
      <c r="B13" s="4"/>
      <c r="C13" s="4"/>
      <c r="D13" s="4" t="s">
        <v>107</v>
      </c>
      <c r="E13" s="4" t="s">
        <v>92</v>
      </c>
      <c r="F13" s="18" t="s">
        <v>79</v>
      </c>
      <c r="G13" s="4"/>
      <c r="H13" s="4" t="s">
        <v>16</v>
      </c>
      <c r="I13" s="4">
        <v>2029</v>
      </c>
      <c r="J13" s="4">
        <v>1</v>
      </c>
      <c r="K13" s="37">
        <v>2000</v>
      </c>
      <c r="L13" s="4"/>
      <c r="N13" s="17">
        <f t="shared" si="0"/>
        <v>2000</v>
      </c>
    </row>
    <row r="14" spans="1:22" x14ac:dyDescent="0.35">
      <c r="A14" s="4"/>
      <c r="B14" s="4"/>
      <c r="C14" s="4"/>
      <c r="D14" s="4" t="s">
        <v>107</v>
      </c>
      <c r="E14" s="4" t="s">
        <v>92</v>
      </c>
      <c r="F14" s="18" t="s">
        <v>79</v>
      </c>
      <c r="G14" s="4"/>
      <c r="H14" s="4" t="s">
        <v>17</v>
      </c>
      <c r="I14" s="4">
        <v>2028</v>
      </c>
      <c r="J14" s="4">
        <v>1</v>
      </c>
      <c r="K14" s="37">
        <v>2000</v>
      </c>
      <c r="L14" s="4"/>
      <c r="N14" s="17">
        <f t="shared" si="0"/>
        <v>2000</v>
      </c>
    </row>
    <row r="15" spans="1:22" x14ac:dyDescent="0.35">
      <c r="A15" s="4"/>
      <c r="B15" s="4"/>
      <c r="C15" s="4"/>
      <c r="D15" s="4" t="s">
        <v>107</v>
      </c>
      <c r="E15" s="4" t="s">
        <v>92</v>
      </c>
      <c r="F15" s="18" t="s">
        <v>79</v>
      </c>
      <c r="G15" s="4"/>
      <c r="H15" s="4" t="s">
        <v>17</v>
      </c>
      <c r="I15" s="4">
        <v>2029</v>
      </c>
      <c r="J15" s="4">
        <v>1</v>
      </c>
      <c r="K15" s="37">
        <v>2000</v>
      </c>
      <c r="L15" s="4"/>
      <c r="N15" s="17">
        <f t="shared" si="0"/>
        <v>2000</v>
      </c>
    </row>
    <row r="16" spans="1:22" x14ac:dyDescent="0.35">
      <c r="A16" s="4"/>
      <c r="B16" s="4"/>
      <c r="C16" s="4"/>
      <c r="D16" s="4" t="s">
        <v>107</v>
      </c>
      <c r="E16" s="4" t="s">
        <v>92</v>
      </c>
      <c r="F16" s="18" t="s">
        <v>79</v>
      </c>
      <c r="G16" s="4" t="s">
        <v>127</v>
      </c>
      <c r="H16" s="4" t="s">
        <v>13</v>
      </c>
      <c r="I16" s="4">
        <v>2029</v>
      </c>
      <c r="J16" s="4">
        <v>1</v>
      </c>
      <c r="K16" s="37">
        <v>3000</v>
      </c>
      <c r="L16" s="4"/>
      <c r="N16" s="17">
        <f t="shared" si="0"/>
        <v>3000</v>
      </c>
      <c r="V16" t="s">
        <v>93</v>
      </c>
    </row>
    <row r="17" spans="1:23" x14ac:dyDescent="0.35">
      <c r="A17" s="4"/>
      <c r="B17" s="4"/>
      <c r="C17" s="4"/>
      <c r="D17" s="4" t="s">
        <v>107</v>
      </c>
      <c r="E17" s="4" t="str">
        <f>Pessoal!D64</f>
        <v>Pólo Ciências</v>
      </c>
      <c r="F17" s="4"/>
      <c r="G17" s="4"/>
      <c r="H17" s="4" t="s">
        <v>2</v>
      </c>
      <c r="I17" s="4">
        <v>2027</v>
      </c>
      <c r="J17" s="4"/>
      <c r="K17" s="37">
        <v>20000</v>
      </c>
      <c r="L17" s="4"/>
      <c r="O17" s="17">
        <f>K17</f>
        <v>20000</v>
      </c>
    </row>
    <row r="18" spans="1:23" x14ac:dyDescent="0.35">
      <c r="A18" s="4"/>
      <c r="B18" s="4"/>
      <c r="C18" s="4"/>
      <c r="D18" s="4" t="s">
        <v>107</v>
      </c>
      <c r="E18" s="4" t="str">
        <f>Pessoal!D65</f>
        <v>Pólo Ciências</v>
      </c>
      <c r="F18" s="4"/>
      <c r="G18" s="4"/>
      <c r="H18" s="4" t="s">
        <v>1</v>
      </c>
      <c r="I18" s="4">
        <v>2027</v>
      </c>
      <c r="J18" s="4"/>
      <c r="K18" s="37">
        <v>10000</v>
      </c>
      <c r="L18" s="4"/>
      <c r="O18" s="17">
        <f t="shared" ref="O18:O28" si="1">K18</f>
        <v>10000</v>
      </c>
    </row>
    <row r="19" spans="1:23" x14ac:dyDescent="0.35">
      <c r="A19" s="4"/>
      <c r="B19" s="4"/>
      <c r="C19" s="4"/>
      <c r="D19" s="4" t="s">
        <v>107</v>
      </c>
      <c r="E19" s="4" t="str">
        <f>Pessoal!D66</f>
        <v>Pólo Ciências</v>
      </c>
      <c r="F19" s="4"/>
      <c r="G19" s="4"/>
      <c r="H19" s="4" t="s">
        <v>2</v>
      </c>
      <c r="I19" s="4">
        <v>2028</v>
      </c>
      <c r="J19" s="4"/>
      <c r="K19" s="37">
        <v>20000</v>
      </c>
      <c r="L19" s="4"/>
      <c r="O19" s="17">
        <f t="shared" si="1"/>
        <v>20000</v>
      </c>
    </row>
    <row r="20" spans="1:23" x14ac:dyDescent="0.35">
      <c r="A20" s="4"/>
      <c r="B20" s="4"/>
      <c r="C20" s="4"/>
      <c r="D20" s="4" t="s">
        <v>107</v>
      </c>
      <c r="E20" s="4" t="str">
        <f>Pessoal!D67</f>
        <v>Pólo Ciências</v>
      </c>
      <c r="F20" s="4"/>
      <c r="G20" s="4"/>
      <c r="H20" s="4" t="s">
        <v>1</v>
      </c>
      <c r="I20" s="4">
        <v>2028</v>
      </c>
      <c r="J20" s="4"/>
      <c r="K20" s="37">
        <v>10000</v>
      </c>
      <c r="L20" s="4"/>
      <c r="O20" s="17">
        <f t="shared" si="1"/>
        <v>10000</v>
      </c>
    </row>
    <row r="21" spans="1:23" x14ac:dyDescent="0.35">
      <c r="A21" s="4"/>
      <c r="B21" s="4"/>
      <c r="C21" s="4"/>
      <c r="D21" s="4" t="s">
        <v>107</v>
      </c>
      <c r="E21" s="4" t="str">
        <f>Pessoal!D68</f>
        <v>Pólo Ciências</v>
      </c>
      <c r="F21" s="4"/>
      <c r="G21" s="4"/>
      <c r="H21" s="4" t="s">
        <v>14</v>
      </c>
      <c r="I21" s="4">
        <v>2028</v>
      </c>
      <c r="J21" s="4"/>
      <c r="K21" s="37">
        <v>3000</v>
      </c>
      <c r="L21" s="4"/>
      <c r="O21" s="17">
        <f t="shared" si="1"/>
        <v>3000</v>
      </c>
      <c r="V21" s="41" t="s">
        <v>94</v>
      </c>
      <c r="W21" s="41"/>
    </row>
    <row r="22" spans="1:23" x14ac:dyDescent="0.35">
      <c r="A22" s="4"/>
      <c r="B22" s="4"/>
      <c r="C22" s="4"/>
      <c r="D22" s="4" t="s">
        <v>107</v>
      </c>
      <c r="E22" s="4" t="str">
        <f>Pessoal!D69</f>
        <v>Pólo Ciências</v>
      </c>
      <c r="F22" s="4"/>
      <c r="G22" s="4"/>
      <c r="H22" s="4" t="s">
        <v>14</v>
      </c>
      <c r="I22" s="4">
        <v>2029</v>
      </c>
      <c r="J22" s="4"/>
      <c r="K22" s="37">
        <v>3000</v>
      </c>
      <c r="L22" s="4"/>
      <c r="O22" s="17">
        <f t="shared" si="1"/>
        <v>3000</v>
      </c>
      <c r="V22" s="13">
        <v>2027</v>
      </c>
      <c r="W22" s="12">
        <f>SUMIFS($K$2:$K$32,$I$2:$I$32,V22)</f>
        <v>520017.19524596375</v>
      </c>
    </row>
    <row r="23" spans="1:23" x14ac:dyDescent="0.35">
      <c r="A23" s="4"/>
      <c r="B23" s="4"/>
      <c r="C23" s="4"/>
      <c r="D23" s="4" t="s">
        <v>107</v>
      </c>
      <c r="E23" s="4" t="str">
        <f>Pessoal!D70</f>
        <v>Pólo Ciências</v>
      </c>
      <c r="F23" s="4"/>
      <c r="G23" s="4"/>
      <c r="H23" s="4" t="s">
        <v>13</v>
      </c>
      <c r="I23" s="4">
        <v>2028</v>
      </c>
      <c r="J23" s="4"/>
      <c r="K23" s="37">
        <v>3000</v>
      </c>
      <c r="L23" s="4"/>
      <c r="O23" s="17">
        <f t="shared" si="1"/>
        <v>3000</v>
      </c>
      <c r="V23" s="13">
        <v>2028</v>
      </c>
      <c r="W23" s="12">
        <f>SUMIFS($K$2:$K$32,$I$2:$I$32,V23)</f>
        <v>528741.59393687278</v>
      </c>
    </row>
    <row r="24" spans="1:23" x14ac:dyDescent="0.35">
      <c r="A24" s="4"/>
      <c r="B24" s="4"/>
      <c r="C24" s="4"/>
      <c r="D24" s="4" t="s">
        <v>107</v>
      </c>
      <c r="E24" s="4" t="str">
        <f>Pessoal!D71</f>
        <v>Pólo Ciências</v>
      </c>
      <c r="F24" s="4"/>
      <c r="G24" s="4"/>
      <c r="H24" s="4" t="s">
        <v>13</v>
      </c>
      <c r="I24" s="4">
        <v>2029</v>
      </c>
      <c r="J24" s="4"/>
      <c r="K24" s="37">
        <v>3000</v>
      </c>
      <c r="L24" s="4"/>
      <c r="O24" s="17">
        <f t="shared" si="1"/>
        <v>3000</v>
      </c>
      <c r="V24" s="13">
        <v>2029</v>
      </c>
      <c r="W24" s="12">
        <f>SUMIFS($K$2:$K$32,$I$2:$I$32,V24)</f>
        <v>451543.49212865101</v>
      </c>
    </row>
    <row r="25" spans="1:23" ht="15" thickBot="1" x14ac:dyDescent="0.4">
      <c r="A25" s="4"/>
      <c r="B25" s="4"/>
      <c r="C25" s="4"/>
      <c r="D25" s="4" t="s">
        <v>107</v>
      </c>
      <c r="E25" s="4" t="str">
        <f>Pessoal!D72</f>
        <v>Pólo Ciências</v>
      </c>
      <c r="F25" s="4"/>
      <c r="G25" s="4"/>
      <c r="H25" s="4" t="s">
        <v>17</v>
      </c>
      <c r="I25" s="4">
        <v>2028</v>
      </c>
      <c r="J25" s="4"/>
      <c r="K25" s="37">
        <v>4000</v>
      </c>
      <c r="L25" s="4"/>
      <c r="O25" s="17">
        <f t="shared" si="1"/>
        <v>4000</v>
      </c>
      <c r="V25" s="15">
        <v>2030</v>
      </c>
      <c r="W25" s="16">
        <f>SUMIFS($K$2:$K$32,$I$2:$I$32,V25)</f>
        <v>0</v>
      </c>
    </row>
    <row r="26" spans="1:23" x14ac:dyDescent="0.35">
      <c r="A26" s="4"/>
      <c r="B26" s="4"/>
      <c r="C26" s="4"/>
      <c r="D26" s="4" t="s">
        <v>107</v>
      </c>
      <c r="E26" s="4" t="str">
        <f>Pessoal!D73</f>
        <v>Pólo Ciências</v>
      </c>
      <c r="F26" s="4"/>
      <c r="G26" s="4"/>
      <c r="H26" s="4" t="s">
        <v>17</v>
      </c>
      <c r="I26" s="4">
        <v>2029</v>
      </c>
      <c r="J26" s="4"/>
      <c r="K26" s="37">
        <v>4000</v>
      </c>
      <c r="L26" s="4"/>
      <c r="O26" s="17">
        <f t="shared" si="1"/>
        <v>4000</v>
      </c>
      <c r="V26" s="14" t="s">
        <v>95</v>
      </c>
      <c r="W26" s="14">
        <f>SUM(W22:W25)</f>
        <v>1500302.2813114878</v>
      </c>
    </row>
    <row r="27" spans="1:23" x14ac:dyDescent="0.35">
      <c r="A27" s="4"/>
      <c r="B27" s="4"/>
      <c r="C27" s="4"/>
      <c r="D27" s="4" t="s">
        <v>107</v>
      </c>
      <c r="E27" s="4" t="str">
        <f>Pessoal!D74</f>
        <v>Pólo Ciências</v>
      </c>
      <c r="F27" s="4"/>
      <c r="G27" s="4"/>
      <c r="H27" s="4" t="s">
        <v>16</v>
      </c>
      <c r="I27" s="4">
        <v>2028</v>
      </c>
      <c r="J27" s="4"/>
      <c r="K27" s="37">
        <v>2000</v>
      </c>
      <c r="L27" s="4"/>
      <c r="O27" s="17">
        <f t="shared" si="1"/>
        <v>2000</v>
      </c>
    </row>
    <row r="28" spans="1:23" x14ac:dyDescent="0.35">
      <c r="A28" s="4"/>
      <c r="B28" s="4"/>
      <c r="C28" s="4"/>
      <c r="D28" s="4" t="s">
        <v>107</v>
      </c>
      <c r="E28" s="4" t="str">
        <f>Pessoal!D75</f>
        <v>Pólo Ciências</v>
      </c>
      <c r="F28" s="4"/>
      <c r="G28" s="4"/>
      <c r="H28" s="4" t="s">
        <v>16</v>
      </c>
      <c r="I28" s="4">
        <v>2029</v>
      </c>
      <c r="J28" s="4"/>
      <c r="K28" s="37">
        <v>2000</v>
      </c>
      <c r="L28" s="4"/>
      <c r="O28" s="17">
        <f t="shared" si="1"/>
        <v>2000</v>
      </c>
    </row>
    <row r="29" spans="1:23" x14ac:dyDescent="0.35">
      <c r="A29" s="10"/>
      <c r="B29" s="10"/>
      <c r="C29" s="10"/>
      <c r="D29" s="10"/>
      <c r="E29" s="10"/>
      <c r="F29" s="10"/>
      <c r="G29" s="10"/>
      <c r="H29" s="10" t="s">
        <v>96</v>
      </c>
      <c r="I29" s="10">
        <v>2025</v>
      </c>
      <c r="J29" s="10"/>
      <c r="K29" s="36">
        <f>SUMIFS($K$2:$K$28,$I$2:$I$28,2025)*0.07</f>
        <v>0</v>
      </c>
      <c r="L29" s="10"/>
    </row>
    <row r="30" spans="1:23" x14ac:dyDescent="0.35">
      <c r="A30" s="10"/>
      <c r="B30" s="10"/>
      <c r="C30" s="10"/>
      <c r="D30" s="10"/>
      <c r="E30" s="10"/>
      <c r="F30" s="10"/>
      <c r="G30" s="10"/>
      <c r="H30" s="10" t="s">
        <v>96</v>
      </c>
      <c r="I30" s="10">
        <v>2027</v>
      </c>
      <c r="J30" s="10"/>
      <c r="K30" s="36">
        <f>SUMIFS($K$2:$K$28,$I$2:$I$28,2027)*0.07</f>
        <v>34019.81651141819</v>
      </c>
      <c r="L30" s="10"/>
      <c r="N30" s="36"/>
      <c r="O30" s="36"/>
    </row>
    <row r="31" spans="1:23" x14ac:dyDescent="0.35">
      <c r="A31" s="10"/>
      <c r="B31" s="10"/>
      <c r="C31" s="10"/>
      <c r="D31" s="10"/>
      <c r="E31" s="10"/>
      <c r="F31" s="10"/>
      <c r="G31" s="10"/>
      <c r="H31" s="10" t="s">
        <v>96</v>
      </c>
      <c r="I31" s="10">
        <v>2028</v>
      </c>
      <c r="J31" s="10"/>
      <c r="K31" s="36">
        <f>SUMIFS($K$2:$K$28,$I$2:$I$28,2028)*0.07</f>
        <v>34590.571565963641</v>
      </c>
      <c r="L31" s="10"/>
      <c r="N31" s="36"/>
      <c r="O31" s="36"/>
    </row>
    <row r="32" spans="1:23" x14ac:dyDescent="0.35">
      <c r="A32" s="10"/>
      <c r="B32" s="10"/>
      <c r="C32" s="10"/>
      <c r="D32" s="10"/>
      <c r="E32" s="10"/>
      <c r="F32" s="10"/>
      <c r="G32" s="10"/>
      <c r="H32" s="10" t="s">
        <v>96</v>
      </c>
      <c r="I32" s="10">
        <v>2029</v>
      </c>
      <c r="J32" s="10"/>
      <c r="K32" s="36">
        <f>SUMIFS($K$2:$K$28,$I$2:$I$28,2029)*0.07</f>
        <v>29540.228457014557</v>
      </c>
      <c r="L32" s="10"/>
      <c r="N32" s="36">
        <f>SUM($N$2:$N$28)*0.07</f>
        <v>61797.447043487286</v>
      </c>
      <c r="O32" s="36">
        <f>SUM($O$2:$O$28)*0.07</f>
        <v>36353.169490909109</v>
      </c>
    </row>
    <row r="35" spans="8:15" x14ac:dyDescent="0.35">
      <c r="H35" t="s">
        <v>97</v>
      </c>
      <c r="K35" s="17">
        <f>SUM(K2:K32)</f>
        <v>1500302.2813114875</v>
      </c>
      <c r="M35" s="43">
        <f>N35+O35</f>
        <v>1500302.2813114878</v>
      </c>
      <c r="N35" s="42">
        <f>SUM(N2:N32)</f>
        <v>944618.11909330566</v>
      </c>
      <c r="O35" s="42">
        <f>SUM(O2:O32)</f>
        <v>555684.16221818211</v>
      </c>
    </row>
    <row r="37" spans="8:15" x14ac:dyDescent="0.35">
      <c r="M37" s="46">
        <f>N37+O37</f>
        <v>1</v>
      </c>
      <c r="N37" s="45">
        <f>N35/M35</f>
        <v>0.62961853145192093</v>
      </c>
      <c r="O37" s="45">
        <f>O35/M35</f>
        <v>0.37038146854807907</v>
      </c>
    </row>
    <row r="39" spans="8:15" x14ac:dyDescent="0.35">
      <c r="M39">
        <v>1281399</v>
      </c>
      <c r="N39">
        <f>M39*N37</f>
        <v>806792.55658396007</v>
      </c>
      <c r="O39">
        <f>M39*O37</f>
        <v>474606.44341603998</v>
      </c>
    </row>
  </sheetData>
  <mergeCells count="1">
    <mergeCell ref="V21:W21"/>
  </mergeCells>
  <dataValidations disablePrompts="1" count="3">
    <dataValidation type="list" allowBlank="1" showInputMessage="1" showErrorMessage="1" sqref="I6:I28" xr:uid="{F84090B7-1A9F-454D-85E7-10E46A3D7D96}">
      <formula1>"2027,2028,2029,2030"</formula1>
    </dataValidation>
    <dataValidation type="list" allowBlank="1" showInputMessage="1" showErrorMessage="1" sqref="J6:J28" xr:uid="{4075F2E9-52E4-4302-AF4F-31CDFC0715D3}">
      <formula1>"1,2,3,4,5,6,7,8,9,10,11,12"</formula1>
    </dataValidation>
    <dataValidation type="list" allowBlank="1" showInputMessage="1" showErrorMessage="1" sqref="F2:F5 F17:F28" xr:uid="{03AD463F-2CD4-415F-AB74-31FDC9D22EF2}">
      <formula1>#REF!</formula1>
    </dataValidation>
  </dataValidations>
  <pageMargins left="0.7" right="0.7" top="0.75" bottom="0.75" header="0.3" footer="0.3"/>
  <pageSetup paperSize="9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3A3B045-0576-4A70-AD96-60E73C418A6D}">
          <x14:formula1>
            <xm:f>Categorias!$A$1:$A$21</xm:f>
          </x14:formula1>
          <xm:sqref>H6:H16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CFD66F99D4A4A8F68D34A61D168AD" ma:contentTypeVersion="3" ma:contentTypeDescription="Create a new document." ma:contentTypeScope="" ma:versionID="46fe46b9267153873ca6e22e966a26df">
  <xsd:schema xmlns:xsd="http://www.w3.org/2001/XMLSchema" xmlns:xs="http://www.w3.org/2001/XMLSchema" xmlns:p="http://schemas.microsoft.com/office/2006/metadata/properties" xmlns:ns2="ea5baca7-c566-461d-a9d8-fc5f64103f8a" targetNamespace="http://schemas.microsoft.com/office/2006/metadata/properties" ma:root="true" ma:fieldsID="0304c7e5b96eb54c1b26ce161e2decea" ns2:_="">
    <xsd:import namespace="ea5baca7-c566-461d-a9d8-fc5f64103f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baca7-c566-461d-a9d8-fc5f64103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E09FC2-183A-4398-A67C-BBFB3FC00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A8B678-5288-4752-8FFD-2F584F29C56E}"/>
</file>

<file path=customXml/itemProps3.xml><?xml version="1.0" encoding="utf-8"?>
<ds:datastoreItem xmlns:ds="http://schemas.openxmlformats.org/officeDocument/2006/customXml" ds:itemID="{F44AC287-2964-4524-9A84-C9D73D25CE2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246d2e83-6129-4c3a-a1aa-7dfc0ea0d6bf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Categorias</vt:lpstr>
      <vt:lpstr>Tecnicos</vt:lpstr>
      <vt:lpstr>Pessoal</vt:lpstr>
      <vt:lpstr>Custos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Diogo Ferreira</dc:creator>
  <cp:keywords/>
  <dc:description/>
  <cp:lastModifiedBy>Rui Diogo Rebelo</cp:lastModifiedBy>
  <cp:revision/>
  <dcterms:created xsi:type="dcterms:W3CDTF">2024-09-11T16:35:59Z</dcterms:created>
  <dcterms:modified xsi:type="dcterms:W3CDTF">2026-10-01T09:05:44Z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0x010100200CFD66F99D4A4A8F68D34A61D168AD</vt:lpwstr>
  </property>
  <property fmtid="{D5CDD505-2E9C-101B-9397-08002B2CF9AE}" pid="3" name="MediaServiceImageTags">
    <vt:lpwstr/>
  </property>
</Properties>
</file>