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inesctecpt-my.sharepoint.com/personal/luis_c_coelho_inesctec_pt/Documents/2. Projectos/1. Candidaturas/2026-PRISMA/"/>
    </mc:Choice>
  </mc:AlternateContent>
  <xr:revisionPtr revIDLastSave="23" documentId="8_{22396578-14E9-43A4-813C-4E8B106E1496}" xr6:coauthVersionLast="47" xr6:coauthVersionMax="47" xr10:uidLastSave="{1C19FE8E-4112-49A6-B7EF-0B76AD47803B}"/>
  <bookViews>
    <workbookView xWindow="11424" yWindow="0" windowWidth="11712" windowHeight="13776" firstSheet="6" activeTab="7" xr2:uid="{1A14E680-2EB9-42A1-AF85-A2D7047EA12F}"/>
  </bookViews>
  <sheets>
    <sheet name="Categorias" sheetId="7" state="hidden" r:id="rId1"/>
    <sheet name="Tecnicos_SYSTEM" sheetId="1" r:id="rId2"/>
    <sheet name="Tecnicos_CAP" sheetId="8" r:id="rId3"/>
    <sheet name="Pessoal_SYSTEM" sheetId="5" r:id="rId4"/>
    <sheet name="Folha1" sheetId="11" r:id="rId5"/>
    <sheet name="Pessoal_CAP" sheetId="9" r:id="rId6"/>
    <sheet name="Custos_SYSTEM" sheetId="6" r:id="rId7"/>
    <sheet name="Custos_CAP" sheetId="10" r:id="rId8"/>
  </sheets>
  <externalReferences>
    <externalReference r:id="rId9"/>
    <externalReference r:id="rId10"/>
  </externalReferences>
  <definedNames>
    <definedName name="_xlnm._FilterDatabase" localSheetId="5" hidden="1">Pessoal_CAP!$A$1:$O$90</definedName>
    <definedName name="_xlnm._FilterDatabase" localSheetId="3" hidden="1">Pessoal_SYSTEM!$A$1:$O$55</definedName>
    <definedName name="D_Indice100">1636.83</definedName>
    <definedName name="Estado">[1]Listas_limites!#REF!</definedName>
    <definedName name="Mês">[1]Listas_limites!#REF!</definedName>
  </definedNames>
  <calcPr calcId="191028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4" i="10" l="1"/>
  <c r="Q45" i="10" s="1"/>
  <c r="Q48" i="10" s="1"/>
  <c r="Q47" i="10"/>
  <c r="T47" i="10"/>
  <c r="T49" i="10" s="1"/>
  <c r="R49" i="10"/>
  <c r="S49" i="10"/>
  <c r="P3" i="1" l="1"/>
  <c r="P4" i="1"/>
  <c r="P5" i="1"/>
  <c r="P6" i="1"/>
  <c r="P7" i="1"/>
  <c r="P8" i="1"/>
  <c r="P9" i="1"/>
  <c r="P10" i="1"/>
  <c r="P11" i="1"/>
  <c r="P12" i="1"/>
  <c r="P13" i="1"/>
  <c r="P2" i="1"/>
  <c r="O13" i="1"/>
  <c r="O12" i="1"/>
  <c r="O10" i="1"/>
  <c r="O9" i="1"/>
  <c r="O8" i="1"/>
  <c r="O6" i="1"/>
  <c r="O5" i="1"/>
  <c r="O4" i="1"/>
  <c r="O2" i="1"/>
  <c r="H90" i="9" l="1"/>
  <c r="R12" i="9"/>
  <c r="W12" i="9"/>
  <c r="Q11" i="9"/>
  <c r="S11" i="9"/>
  <c r="T11" i="9"/>
  <c r="U11" i="9"/>
  <c r="O33" i="9"/>
  <c r="L5" i="9"/>
  <c r="N11" i="8"/>
  <c r="M33" i="9" s="1"/>
  <c r="L11" i="8"/>
  <c r="M32" i="10"/>
  <c r="L32" i="10"/>
  <c r="M25" i="10"/>
  <c r="M24" i="10"/>
  <c r="M27" i="10"/>
  <c r="M26" i="10"/>
  <c r="M23" i="10"/>
  <c r="M22" i="10"/>
  <c r="M21" i="10"/>
  <c r="M20" i="10"/>
  <c r="M19" i="10"/>
  <c r="M18" i="10"/>
  <c r="M7" i="10"/>
  <c r="M6" i="10"/>
  <c r="N33" i="9" l="1"/>
  <c r="L55" i="9"/>
  <c r="M55" i="9"/>
  <c r="Y11" i="9" s="1"/>
  <c r="N55" i="9"/>
  <c r="O55" i="9"/>
  <c r="L33" i="9"/>
  <c r="V11" i="9"/>
  <c r="Y90" i="9"/>
  <c r="L15" i="6"/>
  <c r="L14" i="6"/>
  <c r="L13" i="6"/>
  <c r="L12" i="6"/>
  <c r="X11" i="9" l="1"/>
  <c r="Z11" i="9"/>
  <c r="K55" i="9"/>
  <c r="L5" i="10"/>
  <c r="B24" i="9"/>
  <c r="B46" i="9" s="1"/>
  <c r="B25" i="9"/>
  <c r="B47" i="9" s="1"/>
  <c r="B26" i="9"/>
  <c r="B48" i="9" s="1"/>
  <c r="B27" i="9"/>
  <c r="B49" i="9" s="1"/>
  <c r="B28" i="9"/>
  <c r="B50" i="9" s="1"/>
  <c r="B29" i="9"/>
  <c r="B51" i="9" s="1"/>
  <c r="B30" i="9"/>
  <c r="B52" i="9" s="1"/>
  <c r="B31" i="9"/>
  <c r="B53" i="9" s="1"/>
  <c r="B32" i="9"/>
  <c r="B54" i="9" s="1"/>
  <c r="B13" i="9"/>
  <c r="B35" i="9" s="1"/>
  <c r="B57" i="9" s="1"/>
  <c r="B68" i="9" s="1"/>
  <c r="B79" i="9" s="1"/>
  <c r="B14" i="9"/>
  <c r="B36" i="9" s="1"/>
  <c r="B58" i="9" s="1"/>
  <c r="B69" i="9" s="1"/>
  <c r="B80" i="9" s="1"/>
  <c r="B15" i="9"/>
  <c r="B37" i="9" s="1"/>
  <c r="B59" i="9" s="1"/>
  <c r="B70" i="9" s="1"/>
  <c r="B81" i="9" s="1"/>
  <c r="B16" i="9"/>
  <c r="B38" i="9" s="1"/>
  <c r="B60" i="9" s="1"/>
  <c r="B71" i="9" s="1"/>
  <c r="B82" i="9" s="1"/>
  <c r="B17" i="9"/>
  <c r="B39" i="9" s="1"/>
  <c r="B61" i="9" s="1"/>
  <c r="B72" i="9" s="1"/>
  <c r="B83" i="9" s="1"/>
  <c r="B18" i="9"/>
  <c r="B40" i="9" s="1"/>
  <c r="B62" i="9" s="1"/>
  <c r="B73" i="9" s="1"/>
  <c r="B84" i="9" s="1"/>
  <c r="B19" i="9"/>
  <c r="B41" i="9" s="1"/>
  <c r="B63" i="9" s="1"/>
  <c r="B74" i="9" s="1"/>
  <c r="B85" i="9" s="1"/>
  <c r="B20" i="9"/>
  <c r="B42" i="9" s="1"/>
  <c r="B64" i="9" s="1"/>
  <c r="B75" i="9" s="1"/>
  <c r="B86" i="9" s="1"/>
  <c r="B21" i="9"/>
  <c r="B43" i="9" s="1"/>
  <c r="B65" i="9" s="1"/>
  <c r="B76" i="9" s="1"/>
  <c r="B87" i="9" s="1"/>
  <c r="AA11" i="9" l="1"/>
  <c r="Q3" i="9"/>
  <c r="S9" i="9"/>
  <c r="M12" i="9"/>
  <c r="N12" i="9"/>
  <c r="O12" i="9"/>
  <c r="M17" i="9"/>
  <c r="N17" i="9"/>
  <c r="M23" i="9"/>
  <c r="N23" i="9"/>
  <c r="O23" i="9"/>
  <c r="M34" i="9"/>
  <c r="N34" i="9"/>
  <c r="O34" i="9"/>
  <c r="M45" i="9"/>
  <c r="N45" i="9"/>
  <c r="O45" i="9"/>
  <c r="M67" i="9"/>
  <c r="N67" i="9"/>
  <c r="O67" i="9"/>
  <c r="M78" i="9"/>
  <c r="N78" i="9"/>
  <c r="O78" i="9"/>
  <c r="M89" i="9"/>
  <c r="N89" i="9"/>
  <c r="O89" i="9"/>
  <c r="L12" i="9"/>
  <c r="L23" i="9"/>
  <c r="L34" i="9"/>
  <c r="L45" i="9"/>
  <c r="L49" i="9"/>
  <c r="L50" i="9"/>
  <c r="L67" i="9"/>
  <c r="L78" i="9"/>
  <c r="L84" i="9"/>
  <c r="L89" i="9"/>
  <c r="S2" i="9"/>
  <c r="L52" i="10"/>
  <c r="Q35" i="10"/>
  <c r="J90" i="9"/>
  <c r="I90" i="9"/>
  <c r="G90" i="9"/>
  <c r="U10" i="9"/>
  <c r="T10" i="9"/>
  <c r="S10" i="9"/>
  <c r="Q10" i="9"/>
  <c r="U9" i="9"/>
  <c r="T9" i="9"/>
  <c r="Q9" i="9"/>
  <c r="U8" i="9"/>
  <c r="T8" i="9"/>
  <c r="S8" i="9"/>
  <c r="Q8" i="9"/>
  <c r="U7" i="9"/>
  <c r="T7" i="9"/>
  <c r="S7" i="9"/>
  <c r="Q7" i="9"/>
  <c r="U6" i="9"/>
  <c r="T6" i="9"/>
  <c r="S6" i="9"/>
  <c r="Q6" i="9"/>
  <c r="U5" i="9"/>
  <c r="T5" i="9"/>
  <c r="S5" i="9"/>
  <c r="Q5" i="9"/>
  <c r="U4" i="9"/>
  <c r="T4" i="9"/>
  <c r="S4" i="9"/>
  <c r="Q4" i="9"/>
  <c r="U3" i="9"/>
  <c r="T3" i="9"/>
  <c r="S3" i="9"/>
  <c r="U2" i="9"/>
  <c r="T2" i="9"/>
  <c r="Q2" i="9"/>
  <c r="L20" i="8"/>
  <c r="N20" i="8" s="1"/>
  <c r="K20" i="8"/>
  <c r="J20" i="8"/>
  <c r="L19" i="8"/>
  <c r="N19" i="8" s="1"/>
  <c r="K19" i="8"/>
  <c r="J19" i="8"/>
  <c r="L18" i="8"/>
  <c r="N18" i="8" s="1"/>
  <c r="K18" i="8"/>
  <c r="J18" i="8"/>
  <c r="L17" i="8"/>
  <c r="N17" i="8" s="1"/>
  <c r="K17" i="8"/>
  <c r="J17" i="8"/>
  <c r="L16" i="8"/>
  <c r="N16" i="8" s="1"/>
  <c r="K16" i="8"/>
  <c r="J16" i="8"/>
  <c r="L15" i="8"/>
  <c r="N15" i="8" s="1"/>
  <c r="K15" i="8"/>
  <c r="J15" i="8"/>
  <c r="L14" i="8"/>
  <c r="N14" i="8" s="1"/>
  <c r="K14" i="8"/>
  <c r="J14" i="8"/>
  <c r="L13" i="8"/>
  <c r="N13" i="8" s="1"/>
  <c r="K13" i="8"/>
  <c r="J13" i="8"/>
  <c r="L12" i="8"/>
  <c r="N12" i="8" s="1"/>
  <c r="K12" i="8"/>
  <c r="J12" i="8"/>
  <c r="L10" i="8"/>
  <c r="K10" i="8"/>
  <c r="J10" i="8"/>
  <c r="L9" i="8"/>
  <c r="N9" i="8" s="1"/>
  <c r="N64" i="9" s="1"/>
  <c r="K9" i="8"/>
  <c r="J9" i="8"/>
  <c r="L8" i="8"/>
  <c r="N8" i="8" s="1"/>
  <c r="M41" i="9" s="1"/>
  <c r="K8" i="8"/>
  <c r="J8" i="8"/>
  <c r="L7" i="8"/>
  <c r="N7" i="8" s="1"/>
  <c r="N29" i="9" s="1"/>
  <c r="K7" i="8"/>
  <c r="J7" i="8"/>
  <c r="L6" i="8"/>
  <c r="N6" i="8" s="1"/>
  <c r="N47" i="9" s="1"/>
  <c r="K6" i="8"/>
  <c r="J6" i="8"/>
  <c r="L5" i="8"/>
  <c r="N5" i="8" s="1"/>
  <c r="M6" i="9" s="1"/>
  <c r="K5" i="8"/>
  <c r="J5" i="8"/>
  <c r="L4" i="8"/>
  <c r="N4" i="8" s="1"/>
  <c r="N82" i="9" s="1"/>
  <c r="K4" i="8"/>
  <c r="J4" i="8"/>
  <c r="L3" i="8"/>
  <c r="N3" i="8" s="1"/>
  <c r="M24" i="9" s="1"/>
  <c r="K3" i="8"/>
  <c r="J3" i="8"/>
  <c r="L2" i="8"/>
  <c r="N2" i="8" s="1"/>
  <c r="M59" i="9" s="1"/>
  <c r="K2" i="8"/>
  <c r="J2" i="8"/>
  <c r="S12" i="9" l="1"/>
  <c r="U12" i="9"/>
  <c r="T12" i="9"/>
  <c r="V10" i="9"/>
  <c r="V3" i="9"/>
  <c r="V7" i="9"/>
  <c r="V9" i="9"/>
  <c r="V4" i="9"/>
  <c r="V8" i="9"/>
  <c r="O51" i="9"/>
  <c r="O7" i="9"/>
  <c r="N51" i="9"/>
  <c r="N7" i="9"/>
  <c r="L48" i="9"/>
  <c r="L15" i="9"/>
  <c r="O37" i="9"/>
  <c r="N37" i="9"/>
  <c r="M81" i="9"/>
  <c r="M37" i="9"/>
  <c r="O16" i="9"/>
  <c r="N50" i="9"/>
  <c r="N16" i="9"/>
  <c r="O75" i="9"/>
  <c r="N35" i="9"/>
  <c r="N5" i="9"/>
  <c r="O28" i="9"/>
  <c r="M64" i="9"/>
  <c r="L28" i="9"/>
  <c r="O5" i="9"/>
  <c r="M5" i="9"/>
  <c r="K5" i="9" s="1"/>
  <c r="N28" i="9"/>
  <c r="L83" i="9"/>
  <c r="M51" i="9"/>
  <c r="L82" i="9"/>
  <c r="N81" i="9"/>
  <c r="O50" i="9"/>
  <c r="L14" i="9"/>
  <c r="L7" i="9"/>
  <c r="L47" i="9"/>
  <c r="L40" i="9"/>
  <c r="O62" i="9"/>
  <c r="M29" i="9"/>
  <c r="L73" i="9"/>
  <c r="N62" i="9"/>
  <c r="M15" i="9"/>
  <c r="O14" i="9"/>
  <c r="O3" i="9"/>
  <c r="N10" i="8"/>
  <c r="L21" i="9" s="1"/>
  <c r="L31" i="9"/>
  <c r="O86" i="9"/>
  <c r="M75" i="9"/>
  <c r="O58" i="9"/>
  <c r="O40" i="9"/>
  <c r="M28" i="9"/>
  <c r="N14" i="9"/>
  <c r="N3" i="9"/>
  <c r="N69" i="9"/>
  <c r="N80" i="9"/>
  <c r="M80" i="9"/>
  <c r="L81" i="9"/>
  <c r="O48" i="9"/>
  <c r="M47" i="9"/>
  <c r="O4" i="9"/>
  <c r="N4" i="9"/>
  <c r="M4" i="9"/>
  <c r="L68" i="9"/>
  <c r="M62" i="9"/>
  <c r="N84" i="9"/>
  <c r="O69" i="9"/>
  <c r="O80" i="9"/>
  <c r="M69" i="9"/>
  <c r="L4" i="9"/>
  <c r="L80" i="9"/>
  <c r="O15" i="9"/>
  <c r="L37" i="9"/>
  <c r="N15" i="9"/>
  <c r="N75" i="9"/>
  <c r="L29" i="9"/>
  <c r="O84" i="9"/>
  <c r="O73" i="9"/>
  <c r="N58" i="9"/>
  <c r="N40" i="9"/>
  <c r="O26" i="9"/>
  <c r="M3" i="9"/>
  <c r="L62" i="9"/>
  <c r="N73" i="9"/>
  <c r="M58" i="9"/>
  <c r="M40" i="9"/>
  <c r="N26" i="9"/>
  <c r="L61" i="9"/>
  <c r="L26" i="9"/>
  <c r="M84" i="9"/>
  <c r="M73" i="9"/>
  <c r="O39" i="9"/>
  <c r="M26" i="9"/>
  <c r="L59" i="9"/>
  <c r="L25" i="9"/>
  <c r="M82" i="9"/>
  <c r="N70" i="9"/>
  <c r="N39" i="9"/>
  <c r="L58" i="9"/>
  <c r="O81" i="9"/>
  <c r="M70" i="9"/>
  <c r="M39" i="9"/>
  <c r="M16" i="9"/>
  <c r="O63" i="9"/>
  <c r="L64" i="9"/>
  <c r="O74" i="9"/>
  <c r="O57" i="9"/>
  <c r="L46" i="9"/>
  <c r="M86" i="9"/>
  <c r="L27" i="9"/>
  <c r="M74" i="9"/>
  <c r="M21" i="9"/>
  <c r="L43" i="9"/>
  <c r="L24" i="9"/>
  <c r="N79" i="9"/>
  <c r="O31" i="9"/>
  <c r="L75" i="9"/>
  <c r="N49" i="9"/>
  <c r="N72" i="9"/>
  <c r="M49" i="9"/>
  <c r="M31" i="9"/>
  <c r="N19" i="9"/>
  <c r="M19" i="9"/>
  <c r="L2" i="9"/>
  <c r="L19" i="9"/>
  <c r="O53" i="9"/>
  <c r="N48" i="9"/>
  <c r="M42" i="9"/>
  <c r="O36" i="9"/>
  <c r="N30" i="9"/>
  <c r="M25" i="9"/>
  <c r="O18" i="9"/>
  <c r="N13" i="9"/>
  <c r="M7" i="9"/>
  <c r="L13" i="9"/>
  <c r="N63" i="9"/>
  <c r="N46" i="9"/>
  <c r="N86" i="9"/>
  <c r="M63" i="9"/>
  <c r="M46" i="9"/>
  <c r="N57" i="9"/>
  <c r="O9" i="9"/>
  <c r="O85" i="9"/>
  <c r="N85" i="9"/>
  <c r="L42" i="9"/>
  <c r="M85" i="9"/>
  <c r="M68" i="9"/>
  <c r="O8" i="9"/>
  <c r="L41" i="9"/>
  <c r="M20" i="9"/>
  <c r="O72" i="9"/>
  <c r="N31" i="9"/>
  <c r="M8" i="9"/>
  <c r="L57" i="9"/>
  <c r="L38" i="9"/>
  <c r="O83" i="9"/>
  <c r="N60" i="9"/>
  <c r="N42" i="9"/>
  <c r="O13" i="9"/>
  <c r="L71" i="9"/>
  <c r="L53" i="9"/>
  <c r="L36" i="9"/>
  <c r="L18" i="9"/>
  <c r="M83" i="9"/>
  <c r="N71" i="9"/>
  <c r="O59" i="9"/>
  <c r="N53" i="9"/>
  <c r="M48" i="9"/>
  <c r="O41" i="9"/>
  <c r="N36" i="9"/>
  <c r="M30" i="9"/>
  <c r="O24" i="9"/>
  <c r="N18" i="9"/>
  <c r="M13" i="9"/>
  <c r="O6" i="9"/>
  <c r="M52" i="9"/>
  <c r="M35" i="9"/>
  <c r="L63" i="9"/>
  <c r="N74" i="9"/>
  <c r="O27" i="9"/>
  <c r="L9" i="9"/>
  <c r="O68" i="9"/>
  <c r="M57" i="9"/>
  <c r="N9" i="9"/>
  <c r="L79" i="9"/>
  <c r="L8" i="9"/>
  <c r="O38" i="9"/>
  <c r="M27" i="9"/>
  <c r="O20" i="9"/>
  <c r="M9" i="9"/>
  <c r="O79" i="9"/>
  <c r="N38" i="9"/>
  <c r="N61" i="9"/>
  <c r="L39" i="9"/>
  <c r="O60" i="9"/>
  <c r="O25" i="9"/>
  <c r="N2" i="9"/>
  <c r="L20" i="9"/>
  <c r="M72" i="9"/>
  <c r="L72" i="9"/>
  <c r="O71" i="9"/>
  <c r="L70" i="9"/>
  <c r="L52" i="9"/>
  <c r="L35" i="9"/>
  <c r="L17" i="9"/>
  <c r="O82" i="9"/>
  <c r="M71" i="9"/>
  <c r="O64" i="9"/>
  <c r="N59" i="9"/>
  <c r="M53" i="9"/>
  <c r="O47" i="9"/>
  <c r="N41" i="9"/>
  <c r="M36" i="9"/>
  <c r="O29" i="9"/>
  <c r="N24" i="9"/>
  <c r="M18" i="9"/>
  <c r="N6" i="9"/>
  <c r="L85" i="9"/>
  <c r="N52" i="9"/>
  <c r="O46" i="9"/>
  <c r="L30" i="9"/>
  <c r="N27" i="9"/>
  <c r="N68" i="9"/>
  <c r="L60" i="9"/>
  <c r="O61" i="9"/>
  <c r="M50" i="9"/>
  <c r="N20" i="9"/>
  <c r="L6" i="9"/>
  <c r="O49" i="9"/>
  <c r="M38" i="9"/>
  <c r="N8" i="9"/>
  <c r="M79" i="9"/>
  <c r="M61" i="9"/>
  <c r="O19" i="9"/>
  <c r="O2" i="9"/>
  <c r="L74" i="9"/>
  <c r="O42" i="9"/>
  <c r="M14" i="9"/>
  <c r="L3" i="9"/>
  <c r="O30" i="9"/>
  <c r="N25" i="9"/>
  <c r="M2" i="9"/>
  <c r="N83" i="9"/>
  <c r="M60" i="9"/>
  <c r="L86" i="9"/>
  <c r="L69" i="9"/>
  <c r="L51" i="9"/>
  <c r="L16" i="9"/>
  <c r="O70" i="9"/>
  <c r="O52" i="9"/>
  <c r="O35" i="9"/>
  <c r="O17" i="9"/>
  <c r="V5" i="9"/>
  <c r="V2" i="9"/>
  <c r="V6" i="9"/>
  <c r="V12" i="9" l="1"/>
  <c r="K15" i="9"/>
  <c r="Y6" i="9"/>
  <c r="K16" i="9"/>
  <c r="K37" i="9"/>
  <c r="K80" i="9"/>
  <c r="Y7" i="9"/>
  <c r="K81" i="9"/>
  <c r="K68" i="9"/>
  <c r="X9" i="9"/>
  <c r="K51" i="9"/>
  <c r="N54" i="9"/>
  <c r="K6" i="9"/>
  <c r="K46" i="9"/>
  <c r="K27" i="9"/>
  <c r="O87" i="9"/>
  <c r="K28" i="9"/>
  <c r="Z6" i="9"/>
  <c r="K58" i="9"/>
  <c r="K62" i="9"/>
  <c r="N32" i="9"/>
  <c r="K84" i="9"/>
  <c r="K52" i="9"/>
  <c r="Z7" i="9"/>
  <c r="Y8" i="9"/>
  <c r="K29" i="9"/>
  <c r="K50" i="9"/>
  <c r="K9" i="9"/>
  <c r="K61" i="9"/>
  <c r="K49" i="9"/>
  <c r="K26" i="9"/>
  <c r="K83" i="9"/>
  <c r="K7" i="9"/>
  <c r="Z5" i="9"/>
  <c r="K69" i="9"/>
  <c r="K38" i="9"/>
  <c r="K19" i="9"/>
  <c r="X4" i="9"/>
  <c r="K73" i="9"/>
  <c r="K57" i="9"/>
  <c r="Z2" i="9"/>
  <c r="M65" i="9"/>
  <c r="O54" i="9"/>
  <c r="K60" i="9"/>
  <c r="O76" i="9"/>
  <c r="K13" i="9"/>
  <c r="X3" i="9"/>
  <c r="K64" i="9"/>
  <c r="Y5" i="9"/>
  <c r="L76" i="9"/>
  <c r="K18" i="9"/>
  <c r="K41" i="9"/>
  <c r="L10" i="9"/>
  <c r="N76" i="9"/>
  <c r="K75" i="9"/>
  <c r="K4" i="9"/>
  <c r="K35" i="9"/>
  <c r="K74" i="9"/>
  <c r="K53" i="9"/>
  <c r="K31" i="9"/>
  <c r="K17" i="9"/>
  <c r="K39" i="9"/>
  <c r="K70" i="9"/>
  <c r="N21" i="9"/>
  <c r="M43" i="9"/>
  <c r="K71" i="9"/>
  <c r="O43" i="9"/>
  <c r="L54" i="9"/>
  <c r="Z3" i="9"/>
  <c r="N43" i="9"/>
  <c r="K59" i="9"/>
  <c r="X5" i="9"/>
  <c r="Z8" i="9"/>
  <c r="K40" i="9"/>
  <c r="K82" i="9"/>
  <c r="K63" i="9"/>
  <c r="Y9" i="9"/>
  <c r="K79" i="9"/>
  <c r="K42" i="9"/>
  <c r="K85" i="9"/>
  <c r="K14" i="9"/>
  <c r="K2" i="9"/>
  <c r="K86" i="9"/>
  <c r="M76" i="9"/>
  <c r="N10" i="9"/>
  <c r="O10" i="9"/>
  <c r="L65" i="9"/>
  <c r="M87" i="9"/>
  <c r="N87" i="9"/>
  <c r="O21" i="9"/>
  <c r="M10" i="9"/>
  <c r="L32" i="9"/>
  <c r="L87" i="9"/>
  <c r="N65" i="9"/>
  <c r="K36" i="9"/>
  <c r="M54" i="9"/>
  <c r="K30" i="9"/>
  <c r="M32" i="9"/>
  <c r="K72" i="9"/>
  <c r="Z9" i="9"/>
  <c r="O65" i="9"/>
  <c r="K47" i="9"/>
  <c r="K20" i="9"/>
  <c r="O32" i="9"/>
  <c r="K48" i="9"/>
  <c r="Z4" i="9"/>
  <c r="K24" i="9"/>
  <c r="Y4" i="9"/>
  <c r="Y2" i="9"/>
  <c r="X8" i="9"/>
  <c r="K25" i="9"/>
  <c r="X2" i="9"/>
  <c r="K3" i="9"/>
  <c r="Y3" i="9"/>
  <c r="X6" i="9"/>
  <c r="K8" i="9"/>
  <c r="X7" i="9"/>
  <c r="K21" i="9" l="1"/>
  <c r="AA6" i="9"/>
  <c r="AA9" i="9"/>
  <c r="K87" i="9"/>
  <c r="AA7" i="9"/>
  <c r="K76" i="9"/>
  <c r="O90" i="9"/>
  <c r="K32" i="9"/>
  <c r="AA5" i="9"/>
  <c r="K65" i="9"/>
  <c r="AA3" i="9"/>
  <c r="AA4" i="9"/>
  <c r="AA8" i="9"/>
  <c r="L90" i="9"/>
  <c r="K43" i="9"/>
  <c r="X10" i="9"/>
  <c r="X12" i="9" s="1"/>
  <c r="Y10" i="9"/>
  <c r="Y12" i="9" s="1"/>
  <c r="K10" i="9"/>
  <c r="Z10" i="9"/>
  <c r="Z12" i="9" s="1"/>
  <c r="M90" i="9"/>
  <c r="K54" i="9"/>
  <c r="N90" i="9"/>
  <c r="AA2" i="9"/>
  <c r="H10" i="1"/>
  <c r="H6" i="1"/>
  <c r="H5" i="1"/>
  <c r="H13" i="1"/>
  <c r="H12" i="1"/>
  <c r="H9" i="1"/>
  <c r="H8" i="1"/>
  <c r="H4" i="1"/>
  <c r="H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J2" i="1"/>
  <c r="I2" i="1"/>
  <c r="L4" i="10" l="1"/>
  <c r="L55" i="10" s="1"/>
  <c r="Q34" i="10" s="1"/>
  <c r="L2" i="10"/>
  <c r="L53" i="10" s="1"/>
  <c r="Q32" i="10" s="1"/>
  <c r="L3" i="10"/>
  <c r="L54" i="10" s="1"/>
  <c r="Q33" i="10" s="1"/>
  <c r="AA10" i="9"/>
  <c r="AA12" i="9" s="1"/>
  <c r="P90" i="9"/>
  <c r="K3" i="1"/>
  <c r="M3" i="1" s="1"/>
  <c r="K4" i="1"/>
  <c r="M4" i="1" s="1"/>
  <c r="K5" i="1"/>
  <c r="M5" i="1" s="1"/>
  <c r="K6" i="1"/>
  <c r="M6" i="1" s="1"/>
  <c r="K7" i="1"/>
  <c r="M7" i="1" s="1"/>
  <c r="K8" i="1"/>
  <c r="M8" i="1" s="1"/>
  <c r="K9" i="1"/>
  <c r="M9" i="1" s="1"/>
  <c r="K10" i="1"/>
  <c r="M10" i="1" s="1"/>
  <c r="K11" i="1"/>
  <c r="M11" i="1" s="1"/>
  <c r="K12" i="1"/>
  <c r="M12" i="1" s="1"/>
  <c r="K13" i="1"/>
  <c r="M13" i="1" s="1"/>
  <c r="K14" i="1"/>
  <c r="M14" i="1" s="1"/>
  <c r="K15" i="1"/>
  <c r="M15" i="1" s="1"/>
  <c r="K16" i="1"/>
  <c r="M16" i="1" s="1"/>
  <c r="K17" i="1"/>
  <c r="M17" i="1" s="1"/>
  <c r="K18" i="1"/>
  <c r="M18" i="1" s="1"/>
  <c r="K19" i="1"/>
  <c r="M19" i="1" s="1"/>
  <c r="K20" i="1"/>
  <c r="M20" i="1" s="1"/>
  <c r="K2" i="1"/>
  <c r="M2" i="1" s="1"/>
  <c r="AA13" i="9" l="1"/>
  <c r="Q36" i="10"/>
  <c r="O23" i="5"/>
  <c r="L38" i="5"/>
  <c r="K38" i="5" s="1"/>
  <c r="O38" i="5"/>
  <c r="L23" i="5"/>
  <c r="K23" i="5" s="1"/>
  <c r="M38" i="5"/>
  <c r="N38" i="5"/>
  <c r="M23" i="5"/>
  <c r="N23" i="5"/>
  <c r="O18" i="5"/>
  <c r="N18" i="5"/>
  <c r="M18" i="5"/>
  <c r="L18" i="5"/>
  <c r="K18" i="5" s="1"/>
  <c r="L8" i="5"/>
  <c r="K8" i="5" s="1"/>
  <c r="N8" i="5"/>
  <c r="O8" i="5"/>
  <c r="M8" i="5"/>
  <c r="L24" i="5"/>
  <c r="K24" i="5" s="1"/>
  <c r="L50" i="5"/>
  <c r="K50" i="5" s="1"/>
  <c r="M24" i="5"/>
  <c r="M50" i="5"/>
  <c r="L39" i="5"/>
  <c r="K39" i="5" s="1"/>
  <c r="M39" i="5"/>
  <c r="N24" i="5"/>
  <c r="N50" i="5"/>
  <c r="N39" i="5"/>
  <c r="O24" i="5"/>
  <c r="O50" i="5"/>
  <c r="O39" i="5"/>
  <c r="N9" i="5"/>
  <c r="L9" i="5"/>
  <c r="K9" i="5" s="1"/>
  <c r="M9" i="5"/>
  <c r="O9" i="5"/>
  <c r="L48" i="5"/>
  <c r="K48" i="5" s="1"/>
  <c r="N48" i="5"/>
  <c r="L33" i="5"/>
  <c r="K33" i="5" s="1"/>
  <c r="N33" i="5"/>
  <c r="L37" i="5"/>
  <c r="K37" i="5" s="1"/>
  <c r="N37" i="5"/>
  <c r="O48" i="5"/>
  <c r="O33" i="5"/>
  <c r="M48" i="5"/>
  <c r="M33" i="5"/>
  <c r="M37" i="5"/>
  <c r="O37" i="5"/>
  <c r="L17" i="5"/>
  <c r="K17" i="5" s="1"/>
  <c r="N17" i="5"/>
  <c r="O17" i="5"/>
  <c r="M17" i="5"/>
  <c r="O7" i="5"/>
  <c r="N7" i="5"/>
  <c r="L7" i="5"/>
  <c r="K7" i="5" s="1"/>
  <c r="M7" i="5"/>
  <c r="L32" i="5"/>
  <c r="K32" i="5" s="1"/>
  <c r="M32" i="5"/>
  <c r="M52" i="5"/>
  <c r="N32" i="5"/>
  <c r="O32" i="5"/>
  <c r="M47" i="5"/>
  <c r="N52" i="5"/>
  <c r="N47" i="5"/>
  <c r="L47" i="5"/>
  <c r="K47" i="5" s="1"/>
  <c r="L52" i="5"/>
  <c r="K52" i="5" s="1"/>
  <c r="O52" i="5"/>
  <c r="O47" i="5"/>
  <c r="N16" i="5"/>
  <c r="L16" i="5"/>
  <c r="K16" i="5" s="1"/>
  <c r="M16" i="5"/>
  <c r="O16" i="5"/>
  <c r="L6" i="5"/>
  <c r="M6" i="5"/>
  <c r="O6" i="5"/>
  <c r="N6" i="5"/>
  <c r="L36" i="5"/>
  <c r="K36" i="5" s="1"/>
  <c r="L46" i="5"/>
  <c r="K46" i="5" s="1"/>
  <c r="M31" i="5"/>
  <c r="M36" i="5"/>
  <c r="M46" i="5"/>
  <c r="N36" i="5"/>
  <c r="N46" i="5"/>
  <c r="L31" i="5"/>
  <c r="K31" i="5" s="1"/>
  <c r="O36" i="5"/>
  <c r="O46" i="5"/>
  <c r="N31" i="5"/>
  <c r="O31" i="5"/>
  <c r="N15" i="5"/>
  <c r="M15" i="5"/>
  <c r="O15" i="5"/>
  <c r="L15" i="5"/>
  <c r="K15" i="5" s="1"/>
  <c r="L28" i="5"/>
  <c r="K28" i="5" s="1"/>
  <c r="N28" i="5"/>
  <c r="L42" i="5"/>
  <c r="K42" i="5" s="1"/>
  <c r="M42" i="5"/>
  <c r="O28" i="5"/>
  <c r="M34" i="5"/>
  <c r="M28" i="5"/>
  <c r="N12" i="5"/>
  <c r="N42" i="5"/>
  <c r="O42" i="5"/>
  <c r="L34" i="5"/>
  <c r="K34" i="5" s="1"/>
  <c r="N34" i="5"/>
  <c r="O34" i="5"/>
  <c r="L12" i="5"/>
  <c r="K12" i="5" s="1"/>
  <c r="M12" i="5"/>
  <c r="O12" i="5"/>
  <c r="L20" i="5"/>
  <c r="K20" i="5" s="1"/>
  <c r="L41" i="5"/>
  <c r="K41" i="5" s="1"/>
  <c r="N41" i="5"/>
  <c r="M20" i="5"/>
  <c r="M26" i="5"/>
  <c r="N20" i="5"/>
  <c r="M41" i="5"/>
  <c r="O20" i="5"/>
  <c r="N26" i="5"/>
  <c r="O26" i="5"/>
  <c r="O41" i="5"/>
  <c r="L26" i="5"/>
  <c r="K26" i="5" s="1"/>
  <c r="L11" i="5"/>
  <c r="K11" i="5" s="1"/>
  <c r="M11" i="5"/>
  <c r="N11" i="5"/>
  <c r="O11" i="5"/>
  <c r="L30" i="5"/>
  <c r="K30" i="5" s="1"/>
  <c r="M51" i="5"/>
  <c r="O44" i="5"/>
  <c r="M30" i="5"/>
  <c r="N22" i="5"/>
  <c r="N30" i="5"/>
  <c r="L51" i="5"/>
  <c r="K51" i="5" s="1"/>
  <c r="M22" i="5"/>
  <c r="N44" i="5"/>
  <c r="O30" i="5"/>
  <c r="N51" i="5"/>
  <c r="O51" i="5"/>
  <c r="L22" i="5"/>
  <c r="K22" i="5" s="1"/>
  <c r="L44" i="5"/>
  <c r="K44" i="5" s="1"/>
  <c r="M44" i="5"/>
  <c r="O22" i="5"/>
  <c r="M14" i="5"/>
  <c r="N14" i="5"/>
  <c r="L14" i="5"/>
  <c r="K14" i="5" s="1"/>
  <c r="O14" i="5"/>
  <c r="L5" i="5"/>
  <c r="K5" i="5" s="1"/>
  <c r="N5" i="5"/>
  <c r="M5" i="5"/>
  <c r="O5" i="5"/>
  <c r="L21" i="5"/>
  <c r="K21" i="5" s="1"/>
  <c r="M21" i="5"/>
  <c r="L45" i="5"/>
  <c r="K45" i="5" s="1"/>
  <c r="M27" i="5"/>
  <c r="M49" i="5"/>
  <c r="O45" i="5"/>
  <c r="N45" i="5"/>
  <c r="N21" i="5"/>
  <c r="O27" i="5"/>
  <c r="L49" i="5"/>
  <c r="K49" i="5" s="1"/>
  <c r="M45" i="5"/>
  <c r="N27" i="5"/>
  <c r="O21" i="5"/>
  <c r="L27" i="5"/>
  <c r="K27" i="5" s="1"/>
  <c r="N49" i="5"/>
  <c r="O49" i="5"/>
  <c r="L40" i="5"/>
  <c r="K40" i="5" s="1"/>
  <c r="N25" i="5"/>
  <c r="M40" i="5"/>
  <c r="M25" i="5"/>
  <c r="N40" i="5"/>
  <c r="O40" i="5"/>
  <c r="L25" i="5"/>
  <c r="K25" i="5" s="1"/>
  <c r="O25" i="5"/>
  <c r="N19" i="5"/>
  <c r="O19" i="5"/>
  <c r="M19" i="5"/>
  <c r="L19" i="5"/>
  <c r="K19" i="5" s="1"/>
  <c r="M10" i="5"/>
  <c r="L10" i="5"/>
  <c r="K10" i="5" s="1"/>
  <c r="N10" i="5"/>
  <c r="O10" i="5"/>
  <c r="L54" i="5"/>
  <c r="K54" i="5" s="1"/>
  <c r="N53" i="5"/>
  <c r="M54" i="5"/>
  <c r="L53" i="5"/>
  <c r="K53" i="5" s="1"/>
  <c r="N54" i="5"/>
  <c r="O54" i="5"/>
  <c r="M53" i="5"/>
  <c r="O53" i="5"/>
  <c r="L4" i="5"/>
  <c r="K4" i="5" s="1"/>
  <c r="N35" i="5"/>
  <c r="L29" i="5"/>
  <c r="K29" i="5" s="1"/>
  <c r="M29" i="5"/>
  <c r="N13" i="5"/>
  <c r="O29" i="5"/>
  <c r="L43" i="5"/>
  <c r="K43" i="5" s="1"/>
  <c r="N4" i="5"/>
  <c r="O4" i="5"/>
  <c r="L35" i="5"/>
  <c r="K35" i="5" s="1"/>
  <c r="O13" i="5"/>
  <c r="O43" i="5"/>
  <c r="N29" i="5"/>
  <c r="N43" i="5"/>
  <c r="L13" i="5"/>
  <c r="K13" i="5" s="1"/>
  <c r="M13" i="5"/>
  <c r="O35" i="5"/>
  <c r="M43" i="5"/>
  <c r="M4" i="5"/>
  <c r="M35" i="5"/>
  <c r="L3" i="5"/>
  <c r="K3" i="5" s="1"/>
  <c r="M3" i="5"/>
  <c r="N3" i="5"/>
  <c r="O3" i="5"/>
  <c r="M2" i="5"/>
  <c r="N2" i="5"/>
  <c r="O2" i="5"/>
  <c r="L2" i="5"/>
  <c r="K6" i="5"/>
  <c r="L55" i="5" l="1"/>
  <c r="K2" i="6" s="1"/>
  <c r="K2" i="5"/>
  <c r="O55" i="5"/>
  <c r="K5" i="6" s="1"/>
  <c r="N55" i="5"/>
  <c r="K4" i="6" s="1"/>
  <c r="K46" i="6" s="1"/>
  <c r="M55" i="5"/>
  <c r="K3" i="6" s="1"/>
  <c r="K45" i="6" s="1"/>
  <c r="K44" i="6" l="1"/>
  <c r="W22" i="6" s="1"/>
  <c r="K43" i="6"/>
  <c r="W25" i="6" l="1"/>
  <c r="W23" i="6"/>
  <c r="W24" i="6"/>
  <c r="W2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tc={7AE90E45-7506-455D-9F3B-C0A2587F72A0}</author>
  </authors>
  <commentList>
    <comment ref="D1" authorId="0" shapeId="0" xr:uid="{7AE90E45-7506-455D-9F3B-C0A2587F72A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Nos recursos CAP não devem colocar sede - Polo Ciências ou algo do genero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João Pedro Mendes</author>
  </authors>
  <commentList>
    <comment ref="L8" authorId="0" shapeId="0" xr:uid="{E61060DB-D4FE-4937-A9B5-B12C3A63E796}">
      <text>
        <r>
          <rPr>
            <b/>
            <sz val="9"/>
            <color indexed="81"/>
            <rFont val="Tahoma"/>
            <family val="2"/>
          </rPr>
          <t>João Pedro Mendes:</t>
        </r>
        <r>
          <rPr>
            <sz val="9"/>
            <color indexed="81"/>
            <rFont val="Tahoma"/>
            <family val="2"/>
          </rPr>
          <t xml:space="preserve">
+2500 2027 e 2028
</t>
        </r>
      </text>
    </comment>
    <comment ref="L11" authorId="0" shapeId="0" xr:uid="{10D744F4-4894-4F99-B3B6-7C8AFE34C4D6}">
      <text>
        <r>
          <rPr>
            <b/>
            <sz val="9"/>
            <color indexed="81"/>
            <rFont val="Tahoma"/>
            <family val="2"/>
          </rPr>
          <t>João Pedro Mendes:</t>
        </r>
        <r>
          <rPr>
            <sz val="9"/>
            <color indexed="81"/>
            <rFont val="Tahoma"/>
            <family val="2"/>
          </rPr>
          <t xml:space="preserve">
+1500 2027
+1000 2028
</t>
        </r>
      </text>
    </comment>
    <comment ref="L14" authorId="0" shapeId="0" xr:uid="{F7CC6F84-AC99-43CB-AD09-D36C68547572}">
      <text>
        <r>
          <rPr>
            <b/>
            <sz val="9"/>
            <color indexed="81"/>
            <rFont val="Tahoma"/>
            <family val="2"/>
          </rPr>
          <t>João Pedro Mendes:</t>
        </r>
        <r>
          <rPr>
            <sz val="9"/>
            <color indexed="81"/>
            <rFont val="Tahoma"/>
            <family val="2"/>
          </rPr>
          <t xml:space="preserve">
+10000€
Para spec no NIR (preço medio 21k)
</t>
        </r>
      </text>
    </comment>
    <comment ref="L16" authorId="0" shapeId="0" xr:uid="{EE4FB521-3531-43AD-AD13-96468AFF2CC7}">
      <text>
        <r>
          <rPr>
            <b/>
            <sz val="9"/>
            <color indexed="81"/>
            <rFont val="Tahoma"/>
            <family val="2"/>
          </rPr>
          <t>João Pedro Mendes:</t>
        </r>
        <r>
          <rPr>
            <sz val="9"/>
            <color indexed="81"/>
            <rFont val="Tahoma"/>
            <family val="2"/>
          </rPr>
          <t xml:space="preserve">
Alterado
+ 500€/ano</t>
        </r>
      </text>
    </comment>
  </commentList>
</comments>
</file>

<file path=xl/sharedStrings.xml><?xml version="1.0" encoding="utf-8"?>
<sst xmlns="http://schemas.openxmlformats.org/spreadsheetml/2006/main" count="855" uniqueCount="183">
  <si>
    <t>Aquisição de patentes e direitos de propriedade</t>
  </si>
  <si>
    <t>Matérias-primas e materiais consumíveis</t>
  </si>
  <si>
    <t>Aquisição de componentes</t>
  </si>
  <si>
    <t>Consultoria</t>
  </si>
  <si>
    <t>Estudos/Relatórios DNSH</t>
  </si>
  <si>
    <t>Assistência técnica</t>
  </si>
  <si>
    <t>Aquisição de serviços</t>
  </si>
  <si>
    <t>Equipamento informático</t>
  </si>
  <si>
    <t>Software e licenças</t>
  </si>
  <si>
    <t>Máquinas e equipamentos</t>
  </si>
  <si>
    <t>Aquisição de instrumentos e equipamento científico e técnico</t>
  </si>
  <si>
    <t>Registo de patentes (Taxas Oficiais)</t>
  </si>
  <si>
    <t>Registo de modelo de utilidade e de desenho ou modelo (Taxas Oficiais)</t>
  </si>
  <si>
    <t>Promoção e divulgação</t>
  </si>
  <si>
    <t>Seminários e Conferências</t>
  </si>
  <si>
    <t>Feiras e exposições</t>
  </si>
  <si>
    <t>Deslocações</t>
  </si>
  <si>
    <t>Estadias</t>
  </si>
  <si>
    <t>Processos de certificação</t>
  </si>
  <si>
    <t>Auditorias</t>
  </si>
  <si>
    <t>CC/ROC</t>
  </si>
  <si>
    <t>ID</t>
  </si>
  <si>
    <t>Beneficiário</t>
  </si>
  <si>
    <t>Nova</t>
  </si>
  <si>
    <t>NIF</t>
  </si>
  <si>
    <t>Nome/Perfil
(colocar perfis)</t>
  </si>
  <si>
    <t>Nível</t>
  </si>
  <si>
    <t>Vínculo</t>
  </si>
  <si>
    <t>Vencimento mês
(Consultar SAAF para Valores)</t>
  </si>
  <si>
    <t>Seguro Social Voluntário</t>
  </si>
  <si>
    <t>Seguro Acidentes Pessoais</t>
  </si>
  <si>
    <t>Taxa Segurança Social</t>
  </si>
  <si>
    <t>Critico</t>
  </si>
  <si>
    <t>Custo ETI</t>
  </si>
  <si>
    <t>INESC TEC</t>
  </si>
  <si>
    <t>Não</t>
  </si>
  <si>
    <t>C1 - IT/OT Specialist</t>
  </si>
  <si>
    <t>Nível 7 - Mestre</t>
  </si>
  <si>
    <t>Contrato de Trabalho a Termo Certo</t>
  </si>
  <si>
    <t>D1 - Operations Management Specialist</t>
  </si>
  <si>
    <t>Nível 8 - Doutorado</t>
  </si>
  <si>
    <t>Quadro de Cedência Ocasional [Docentes]</t>
  </si>
  <si>
    <t>C2 - Digital Twin Specialist</t>
  </si>
  <si>
    <t>Contrato de Trabalho a Tempo Indeterminado (Sem Termo)</t>
  </si>
  <si>
    <t>C3 - Digital Twin Specialist</t>
  </si>
  <si>
    <t>C4 - Tecnology Adoption Specialist</t>
  </si>
  <si>
    <t>C5 - Operations Management Specialist</t>
  </si>
  <si>
    <t>D2 - AI Specialist</t>
  </si>
  <si>
    <t>Sim</t>
  </si>
  <si>
    <t>D3 - Data Analytics Specialist</t>
  </si>
  <si>
    <t>C6 - Operations Management Specialist</t>
  </si>
  <si>
    <t>C7 - Project Management Specialist</t>
  </si>
  <si>
    <t>D4 - Data Analytics and AI Specialist</t>
  </si>
  <si>
    <t>D5 - Data Analytics and AI Specialist</t>
  </si>
  <si>
    <t>Perfil</t>
  </si>
  <si>
    <t>C1 - Specialist in Signal Processing and Hardware Instrumentation Design</t>
  </si>
  <si>
    <t>Contrato de Trablho a Termo Incerto</t>
  </si>
  <si>
    <t>C2 - Specialist in Electrochemistry</t>
  </si>
  <si>
    <t>C3 - Specialist in Physics Engineering</t>
  </si>
  <si>
    <t>C4 - Specialist in Optical Sensing Technologies</t>
  </si>
  <si>
    <t>C5 - Specialist in Chemical Functionalization and Optical Sensing</t>
  </si>
  <si>
    <t>C6 - Electronic Technician Specialist</t>
  </si>
  <si>
    <t>Nível 6 - Licenciado</t>
  </si>
  <si>
    <t xml:space="preserve">C7 - Specialist in Electronics </t>
  </si>
  <si>
    <t>D1 - Specialist in Physics</t>
  </si>
  <si>
    <t>C8 - Specialist in Optics and Instrumentation</t>
  </si>
  <si>
    <t>Bolseiro</t>
  </si>
  <si>
    <t>N.º</t>
  </si>
  <si>
    <t>Técnico</t>
  </si>
  <si>
    <t>Conteúdo Funcional</t>
  </si>
  <si>
    <t>Estab.</t>
  </si>
  <si>
    <t>Atividade</t>
  </si>
  <si>
    <t>ETI 0
(Ano 2027)</t>
  </si>
  <si>
    <t>ETI 1
(Ano 2028)</t>
  </si>
  <si>
    <t>ET2
(Ano 2029)</t>
  </si>
  <si>
    <t>ET3
(Ano 2030)</t>
  </si>
  <si>
    <t>Valor
(Custo Total Pessoal)</t>
  </si>
  <si>
    <t>Custo ETI
(Ano 2027)</t>
  </si>
  <si>
    <t>Custo ETI
(Ano 2028)</t>
  </si>
  <si>
    <t>Custo ETI
(Ano 2029)</t>
  </si>
  <si>
    <t>Custo ETI
(Ano 2030)</t>
  </si>
  <si>
    <t>Sede</t>
  </si>
  <si>
    <t>A1- Continuous Fermentation Development</t>
  </si>
  <si>
    <t>A1 - Continuous Fermentation Development</t>
  </si>
  <si>
    <t>A3 - AI-Driven Process Intelligence Development</t>
  </si>
  <si>
    <t>A4 - Bioreactor Design Development</t>
  </si>
  <si>
    <t>A6 - Bioreactor Scale-Up</t>
  </si>
  <si>
    <t>A7 - Textile Testing &amp; Validation</t>
  </si>
  <si>
    <t>A8 - Industrial-Scale Dyeing Performance Assessment</t>
  </si>
  <si>
    <t>A9 - Promotion, Dissemination &amp; IP</t>
  </si>
  <si>
    <t>A10 - Project Management</t>
  </si>
  <si>
    <t>C.Total/Ano</t>
  </si>
  <si>
    <t>Total</t>
  </si>
  <si>
    <t>Polo Ciências</t>
  </si>
  <si>
    <t>Activity 1 - Continuous Fermentation Development</t>
  </si>
  <si>
    <t>Activity 2 - Feedstock Characterisation and Screening</t>
  </si>
  <si>
    <t>Activity 3 - AI-Driven Process Intelligence Development</t>
  </si>
  <si>
    <t>Activity 4 - Bioreactor Design Development</t>
  </si>
  <si>
    <t>Activity 6 - Bioreactor Scale-Up</t>
  </si>
  <si>
    <t>Activity 9 - Promotion, Dissemination &amp; IP</t>
  </si>
  <si>
    <t>Activity 10 - Project Management</t>
  </si>
  <si>
    <t>Activity 11 - CMO Build</t>
  </si>
  <si>
    <t>Âmbito</t>
  </si>
  <si>
    <t>Ativ.</t>
  </si>
  <si>
    <t>Designação</t>
  </si>
  <si>
    <t>Rubrica</t>
  </si>
  <si>
    <t>Ano</t>
  </si>
  <si>
    <t>Mês</t>
  </si>
  <si>
    <t>Custo</t>
  </si>
  <si>
    <t>EF</t>
  </si>
  <si>
    <t>Custos com Pessoal</t>
  </si>
  <si>
    <t>Aquisição de GPU e 2 computadores+monitores</t>
  </si>
  <si>
    <t>Aquisição 3 licenças Flexsim anuais</t>
  </si>
  <si>
    <t>Registo 1 pessoa em 2 conferências FAIM 2028 e APMS 2028</t>
  </si>
  <si>
    <t xml:space="preserve">Registo em 2 conferências: FAIM 2029 e APMS 2029 </t>
  </si>
  <si>
    <t>Open Access Journal</t>
  </si>
  <si>
    <t>NOTA: Limite de 85,00€/noite por estadia em Hotel (DL 106/98) em território nacional; 148,91€/noite no estrangeiro</t>
  </si>
  <si>
    <t>Orçamento Total</t>
  </si>
  <si>
    <t>Custos Indiretos</t>
  </si>
  <si>
    <t>A1</t>
  </si>
  <si>
    <t>A2</t>
  </si>
  <si>
    <t>A3</t>
  </si>
  <si>
    <t>A6</t>
  </si>
  <si>
    <t>A9</t>
  </si>
  <si>
    <t>Justificação</t>
  </si>
  <si>
    <t>Nacionais</t>
  </si>
  <si>
    <t>Deslocações para acompanhamento da tarefa, nomeadamente setup experimental e processos de fermentação aquando da mudança para métodos de alimentação alternativos</t>
  </si>
  <si>
    <t xml:space="preserve">Aquisição de consumíveis, tais como material de laboratório e reagentes quimicos relevantes para o desenvolvimento dos sensores. </t>
  </si>
  <si>
    <t>Aquisição de consumíveis, tais como material de laboratório e reagentes químicos relevantes para o desenvolvimento dos sensores e adaptação ao processo de scale-up</t>
  </si>
  <si>
    <t xml:space="preserve">Aquisição de componentes eletrónicos tais como LEDs, fotodetectores, PCBs, microcontroladores, entre outros. Estes componentes permitirão o desenvolvimento de sistemas autónomos em constante adaptação aos diferentes desafios colocados pelos diferentes bioreatores. </t>
  </si>
  <si>
    <t xml:space="preserve">Aquisição de componentes eletrónicos tais como LEDs, fotodetectores, PCBs, microcontroladores, entre outros. Estes componentes permitirão o desenvolvimento de sistemas autónomos em constante adaptação aos desafios colocados pelo processo de scale-up. </t>
  </si>
  <si>
    <t xml:space="preserve">Aquisição de equipamento relacionado com os trabalhos experimentais no desenvolvimento dos sensores, nomeadamente fontes de luz e espectometros de alta resolução. </t>
  </si>
  <si>
    <t>Registo de 2 pessoas em 2 conferências</t>
  </si>
  <si>
    <t>Deslocação para acompanhamento do processo de scale-up</t>
  </si>
  <si>
    <t>Deslocação para acompanhamento do processo de scale-up e implementação dos sensores.</t>
  </si>
  <si>
    <t>Internacionais</t>
  </si>
  <si>
    <t>Partcipação em conferências internacionais</t>
  </si>
  <si>
    <t>Partcipação em conferências nacionais</t>
  </si>
  <si>
    <t>Publicação em revista científica internacional de alto impacto</t>
  </si>
  <si>
    <t>PC para trabalho laboratorial e trabalho de campo, assim como mini-PCs para instalação junto dos sensores.</t>
  </si>
  <si>
    <t>2 pessoas, 5 dias, Localização: TBD, Europa</t>
  </si>
  <si>
    <t>2 pessoas, 3 dias, Localização: TBD, Portugal</t>
  </si>
  <si>
    <t>Registo de 3 pessoas em 2 conferências</t>
  </si>
  <si>
    <t>3 pessoas, 5 dias, Localização: TBD, Estados Unidos</t>
  </si>
  <si>
    <t>2 pessoas 1 conferência, Localização: TBD, Europa; Conferência: Photonics Europe</t>
  </si>
  <si>
    <t>2 pessoas 1 conferência, Localização: TBD, Portugal; Conferência: Europtrode</t>
  </si>
  <si>
    <t>3 pessoas 1 conferência, Localização: TBD, Estados Unidos; Conferência: Photonics West</t>
  </si>
  <si>
    <t>2 pessoas 1 conferência, Localização: TBD, Portugal; Conferência: AOP</t>
  </si>
  <si>
    <t>Deslocação 2 conferências: FAIM 2028 e APMS 2028 nos Estados Unidos (localização a prever)</t>
  </si>
  <si>
    <t>Deslocação 2 conferências: FAIM 2029 e APMS 2029 na Europa  (localização a prever)</t>
  </si>
  <si>
    <t>Previsão OPO-EUA</t>
  </si>
  <si>
    <t>Estadia 5 dias, 1 pessoa, em 2 conferências FAIM 2028 e APMS 2028 nos Estados Unidos</t>
  </si>
  <si>
    <t>Estadia 5 dias, 1 pessoa, em 2 conferências FAIM 2029 e APMS 2029 na Europa  (localização a prever)</t>
  </si>
  <si>
    <t>Previsão estadia EUA</t>
  </si>
  <si>
    <t>Previsão Estadia FR</t>
  </si>
  <si>
    <t>Previsão OPO-FR</t>
  </si>
  <si>
    <t>Deslocações para acompanhamento da tarefa, nomeadamente setup experimental e 
processos de fermentação aquando da mudança para métodos de alimentação alternativos</t>
  </si>
  <si>
    <t>Deslocações para acompanhamento da tarefa, nomeadamente setup experimental e processos de fermentação para o desenvolvimento dos sensores e respetiva implementação.</t>
  </si>
  <si>
    <t>Deslocações para acompanhamento da tarefa, nomeadamente setup 
experimental e processos de fermentação para o desenvolvimento dos sensores e respetiva implementação</t>
  </si>
  <si>
    <t>Material de laboratório e reagentes quimicos relevantes para o desenvolvimento dos sensores</t>
  </si>
  <si>
    <t>Consumíveis, tais como material de laboratório e reagentes químicos relevantes para o desenvolvimento dos sensores e adaptação ao processo de scale-up</t>
  </si>
  <si>
    <t>Aquisição de componentes eletrónicos tais como LEDs, fotodetectores, PCBs, microcontroladores, entre outros</t>
  </si>
  <si>
    <t>Aquisição de equipamento relacionado com os trabalhos experimentais no desenvolvimento dos sensores, nomeadamente fontes de luz e espectometros de alta resolução</t>
  </si>
  <si>
    <t>PC para trabalho laboratorial e trabalho de campo, assim como mini-PCs para instalação junto dos sensores</t>
  </si>
  <si>
    <t xml:space="preserve"> Deslocação Conferência: Photonics Europe (localização a prever)</t>
  </si>
  <si>
    <t>Deslocação Conferência: Europtrode (localização a prever)</t>
  </si>
  <si>
    <t>Deslocação Conferência: AOP (Portugal, localização a prever)</t>
  </si>
  <si>
    <t xml:space="preserve">Publicação em revista científica internacional </t>
  </si>
  <si>
    <t>Deslocação  Conferência: Photonics West 
(Estados Unidos, localização a prever)</t>
  </si>
  <si>
    <t>Acomodação e subsistência Conferência: Photonics Europe 
(localização a prever)</t>
  </si>
  <si>
    <t>Acomodação e subsistência Conferência: Europtrode 
(localização a prever)</t>
  </si>
  <si>
    <t>Acomodação e subsistência Conferência: Photonics West 
(Estados Unidos, localização a prever)</t>
  </si>
  <si>
    <t>Acomodação e subsistência Conferência: AOP 
(Portugal, localização a prever)</t>
  </si>
  <si>
    <t>Previsão OPO-UK</t>
  </si>
  <si>
    <t>Previsão OPO-LIS</t>
  </si>
  <si>
    <t>D2 - Specialist in Physics and Optics</t>
  </si>
  <si>
    <t>Rótulos de Linha</t>
  </si>
  <si>
    <t>(em branco)</t>
  </si>
  <si>
    <t>Total Geral</t>
  </si>
  <si>
    <t>Soma de ETI 0
(Ano 2027)</t>
  </si>
  <si>
    <t>Soma de ETI 1
(Ano 2028)</t>
  </si>
  <si>
    <t>Soma de ET2
(Ano 2029)</t>
  </si>
  <si>
    <t>Soma de ET3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</si>
</sst>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95462"/>
      <name val="Segoe UI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95462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/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0" fontId="0" fillId="0" borderId="1" xfId="1" applyNumberFormat="1" applyFont="1" applyBorder="1"/>
    <xf numFmtId="2" fontId="0" fillId="0" borderId="1" xfId="0" applyNumberFormat="1" applyBorder="1"/>
    <xf numFmtId="0" fontId="2" fillId="2" borderId="4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0" xfId="0" applyAlignment="1">
      <alignment horizont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/>
    </xf>
    <xf numFmtId="0" fontId="5" fillId="4" borderId="6" xfId="0" applyFont="1" applyFill="1" applyBorder="1"/>
    <xf numFmtId="0" fontId="5" fillId="4" borderId="5" xfId="0" applyFont="1" applyFill="1" applyBorder="1" applyAlignment="1">
      <alignment horizontal="left"/>
    </xf>
    <xf numFmtId="0" fontId="0" fillId="4" borderId="5" xfId="0" applyFill="1" applyBorder="1"/>
    <xf numFmtId="0" fontId="0" fillId="6" borderId="1" xfId="0" applyFill="1" applyBorder="1"/>
    <xf numFmtId="0" fontId="5" fillId="0" borderId="1" xfId="0" applyFont="1" applyBorder="1"/>
    <xf numFmtId="10" fontId="5" fillId="0" borderId="1" xfId="1" applyNumberFormat="1" applyFont="1" applyBorder="1"/>
    <xf numFmtId="0" fontId="7" fillId="2" borderId="2" xfId="0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7" xfId="0" applyBorder="1"/>
    <xf numFmtId="0" fontId="0" fillId="0" borderId="8" xfId="0" applyBorder="1"/>
    <xf numFmtId="0" fontId="0" fillId="6" borderId="7" xfId="0" applyFill="1" applyBorder="1"/>
    <xf numFmtId="0" fontId="0" fillId="6" borderId="0" xfId="0" applyFill="1"/>
    <xf numFmtId="2" fontId="0" fillId="6" borderId="1" xfId="0" applyNumberFormat="1" applyFill="1" applyBorder="1"/>
    <xf numFmtId="0" fontId="0" fillId="6" borderId="9" xfId="0" applyFill="1" applyBorder="1"/>
    <xf numFmtId="2" fontId="0" fillId="6" borderId="0" xfId="0" applyNumberFormat="1" applyFill="1"/>
    <xf numFmtId="10" fontId="0" fillId="0" borderId="1" xfId="1" applyNumberFormat="1" applyFont="1" applyFill="1" applyBorder="1"/>
    <xf numFmtId="1" fontId="0" fillId="0" borderId="1" xfId="0" applyNumberFormat="1" applyBorder="1"/>
    <xf numFmtId="165" fontId="0" fillId="0" borderId="1" xfId="0" applyNumberFormat="1" applyBorder="1"/>
    <xf numFmtId="0" fontId="6" fillId="0" borderId="1" xfId="0" applyFont="1" applyBorder="1"/>
    <xf numFmtId="2" fontId="5" fillId="0" borderId="1" xfId="0" applyNumberFormat="1" applyFont="1" applyBorder="1"/>
    <xf numFmtId="0" fontId="0" fillId="0" borderId="10" xfId="0" applyBorder="1"/>
    <xf numFmtId="0" fontId="0" fillId="7" borderId="1" xfId="0" applyFill="1" applyBorder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8" borderId="2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0" fillId="8" borderId="0" xfId="0" applyFill="1" applyAlignment="1">
      <alignment horizontal="center" wrapText="1"/>
    </xf>
    <xf numFmtId="0" fontId="0" fillId="6" borderId="0" xfId="0" applyFill="1" applyAlignment="1">
      <alignment wrapText="1"/>
    </xf>
    <xf numFmtId="2" fontId="5" fillId="4" borderId="6" xfId="0" applyNumberFormat="1" applyFont="1" applyFill="1" applyBorder="1"/>
    <xf numFmtId="164" fontId="0" fillId="0" borderId="0" xfId="3" applyFont="1"/>
    <xf numFmtId="0" fontId="0" fillId="9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0" xfId="0" applyFill="1"/>
    <xf numFmtId="0" fontId="2" fillId="10" borderId="0" xfId="0" applyFont="1" applyFill="1" applyAlignment="1">
      <alignment horizontal="left" vertical="center" wrapText="1"/>
    </xf>
    <xf numFmtId="0" fontId="0" fillId="10" borderId="0" xfId="0" applyFill="1"/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10" borderId="0" xfId="0" applyFill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0" fillId="5" borderId="7" xfId="0" applyFill="1" applyBorder="1"/>
    <xf numFmtId="2" fontId="0" fillId="5" borderId="1" xfId="0" applyNumberFormat="1" applyFill="1" applyBorder="1"/>
    <xf numFmtId="0" fontId="0" fillId="5" borderId="11" xfId="0" applyFill="1" applyBorder="1"/>
    <xf numFmtId="0" fontId="10" fillId="0" borderId="1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2" fontId="0" fillId="0" borderId="0" xfId="0" applyNumberFormat="1"/>
    <xf numFmtId="0" fontId="5" fillId="4" borderId="1" xfId="0" applyFont="1" applyFill="1" applyBorder="1" applyAlignment="1">
      <alignment horizontal="center"/>
    </xf>
    <xf numFmtId="0" fontId="0" fillId="0" borderId="0" xfId="0" applyNumberFormat="1"/>
  </cellXfs>
  <cellStyles count="4">
    <cellStyle name="Currency" xfId="3" builtinId="4"/>
    <cellStyle name="Normal" xfId="0" builtinId="0"/>
    <cellStyle name="Normal 2" xfId="2" xr:uid="{231D0775-5D8B-4AF5-91AB-5E1FB86D327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17</xdr:row>
      <xdr:rowOff>66675</xdr:rowOff>
    </xdr:from>
    <xdr:to>
      <xdr:col>37</xdr:col>
      <xdr:colOff>520700</xdr:colOff>
      <xdr:row>39</xdr:row>
      <xdr:rowOff>42676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F435742-A946-C892-47FA-DFFB3E004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83525" y="3257550"/>
          <a:ext cx="13773150" cy="39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122465</xdr:colOff>
      <xdr:row>2</xdr:row>
      <xdr:rowOff>160111</xdr:rowOff>
    </xdr:from>
    <xdr:to>
      <xdr:col>14</xdr:col>
      <xdr:colOff>126213</xdr:colOff>
      <xdr:row>8</xdr:row>
      <xdr:rowOff>11916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C53D4C-D1B5-C9F7-C192-8065904EF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50644" y="513897"/>
          <a:ext cx="2467102" cy="25464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barbas\Programas%20Nacionais\PORTUGAL%202020\Programas%20de%20Atividades%20Conjuntas%20(PAC)\Budget_PAC_Teste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lcoelho/Downloads/Folha%20Or&#231;amenta&#231;&#227;o%20Mini-Agendas%20STEP.xlsx" TargetMode="External"/><Relationship Id="rId2" Type="http://schemas.openxmlformats.org/officeDocument/2006/relationships/externalLinkPath" Target="file:///C:\Users\lcoelho\Downloads\Folha%20Or&#231;amenta&#231;&#227;o%20Mini-Agendas%20STEP.xlsx" TargetMode="External"/><Relationship Id="rId1" Type="http://schemas.openxmlformats.org/officeDocument/2006/relationships/externalLinkPath" Target="/Users/lcoelho/Downloads/Folha%20Or&#231;amenta&#231;&#227;o%20Mini-Agendas%20ST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s"/>
      <sheetName val="Listas_limites"/>
      <sheetName val="Budget"/>
      <sheetName val="Missões"/>
      <sheetName val="Equipment"/>
      <sheetName val="Contract"/>
      <sheetName val="Research Fellowships"/>
      <sheetName val="Custo_Pessoa.mês_refª"/>
      <sheetName val="Depreciation"/>
      <sheetName val="Goods_and_Services"/>
      <sheetName val="Patent Registration"/>
      <sheetName val="Subcontracts"/>
      <sheetName val="Adaptation of Buildings"/>
      <sheetName val="Component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tegorias"/>
      <sheetName val="Tecnicos_CAP"/>
      <sheetName val="Pessoal_CAP"/>
      <sheetName val="Custos_CAP"/>
    </sheetNames>
    <sheetDataSet>
      <sheetData sheetId="0"/>
      <sheetData sheetId="1">
        <row r="1">
          <cell r="E1" t="str">
            <v>Nome/Perfil
(colocar perfis)</v>
          </cell>
        </row>
      </sheetData>
      <sheetData sheetId="2">
        <row r="82">
          <cell r="L82">
            <v>168796.78560090909</v>
          </cell>
          <cell r="O82">
            <v>0</v>
          </cell>
        </row>
      </sheetData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Grasiela Almeida" id="{80A4B440-1FD9-4D95-9B22-4A57D41BC67D}" userId="S::grasiela.almeida@inesctec.pt::6829142b-5729-455c-a1a1-6600d297e331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ulo Diogo Ferreira" refreshedDate="46136.832420833336" createdVersion="8" refreshedVersion="8" minRefreshableVersion="3" recordCount="86" xr:uid="{2DC81A7F-79AE-46BD-AA16-DE4D95C8BFAA}">
  <cacheSource type="worksheet">
    <worksheetSource ref="A1:O87" sheet="Pessoal_CAP"/>
  </cacheSource>
  <cacheFields count="15">
    <cacheField name="N.º" numFmtId="0">
      <sharedItems containsNonDate="0" containsString="0" containsBlank="1"/>
    </cacheField>
    <cacheField name="Técnico" numFmtId="0">
      <sharedItems containsBlank="1" count="11">
        <s v="C2 - Specialist in Electrochemistry"/>
        <s v="C5 - Specialist in Chemical Functionalization and Optical Sensing"/>
        <s v="C1 - Specialist in Signal Processing and Hardware Instrumentation Design"/>
        <s v="C3 - Specialist in Physics Engineering"/>
        <s v="C4 - Specialist in Optical Sensing Technologies"/>
        <s v="C6 - Electronic Technician Specialist"/>
        <s v="C7 - Specialist in Electronics "/>
        <s v="D1 - Specialist in Physics"/>
        <s v="C8 - Specialist in Optics and Instrumentation"/>
        <s v="D2 - Specialist in Physics and Optics"/>
        <m/>
      </sharedItems>
    </cacheField>
    <cacheField name="Conteúdo Funcional" numFmtId="0">
      <sharedItems containsNonDate="0" containsString="0" containsBlank="1"/>
    </cacheField>
    <cacheField name="Estab." numFmtId="0">
      <sharedItems containsBlank="1"/>
    </cacheField>
    <cacheField name="Perfil" numFmtId="0">
      <sharedItems containsNonDate="0" containsString="0" containsBlank="1"/>
    </cacheField>
    <cacheField name="Atividade" numFmtId="0">
      <sharedItems containsBlank="1"/>
    </cacheField>
    <cacheField name="ETI 0_x000a_(Ano 2027)" numFmtId="0">
      <sharedItems containsString="0" containsBlank="1" containsNumber="1" minValue="0" maxValue="8"/>
    </cacheField>
    <cacheField name="ETI 1_x000a_(Ano 2028)" numFmtId="0">
      <sharedItems containsString="0" containsBlank="1" containsNumber="1" minValue="0.5" maxValue="11"/>
    </cacheField>
    <cacheField name="ET2_x000a_(Ano 2029)" numFmtId="0">
      <sharedItems containsString="0" containsBlank="1" containsNumber="1" minValue="0.5" maxValue="6"/>
    </cacheField>
    <cacheField name="ET3_x000a_(Ano 2030)" numFmtId="0">
      <sharedItems containsNonDate="0" containsString="0" containsBlank="1"/>
    </cacheField>
    <cacheField name="Valor_x000a_(Custo Total Pessoal)" numFmtId="2">
      <sharedItems containsString="0" containsBlank="1" containsNumber="1" minValue="0" maxValue="50276.41818181819"/>
    </cacheField>
    <cacheField name="Custo ETI_x000a_(Ano 2027)" numFmtId="2">
      <sharedItems containsString="0" containsBlank="1" containsNumber="1" minValue="0" maxValue="30262.169941818182"/>
    </cacheField>
    <cacheField name="Custo ETI_x000a_(Ano 2028)" numFmtId="2">
      <sharedItems containsString="0" containsBlank="1" containsNumber="1" minValue="0" maxValue="42145.803000000007"/>
    </cacheField>
    <cacheField name="Custo ETI_x000a_(Ano 2029)" numFmtId="2">
      <sharedItems containsString="0" containsBlank="1" containsNumber="1" minValue="0" maxValue="15876.763636363637"/>
    </cacheField>
    <cacheField name="Custo ETI_x000a_(Ano 2030)" numFmtId="2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">
  <r>
    <m/>
    <x v="0"/>
    <m/>
    <s v="Polo Ciências"/>
    <m/>
    <s v="Activity 1 - Continuous Fermentation Development"/>
    <n v="0"/>
    <m/>
    <m/>
    <m/>
    <n v="0"/>
    <n v="0"/>
    <n v="0"/>
    <n v="0"/>
    <n v="0"/>
  </r>
  <r>
    <m/>
    <x v="1"/>
    <m/>
    <s v="Polo Ciências"/>
    <m/>
    <s v="Activity 1 - Continuous Fermentation Development"/>
    <m/>
    <m/>
    <m/>
    <m/>
    <n v="0"/>
    <n v="0"/>
    <n v="0"/>
    <n v="0"/>
    <n v="0"/>
  </r>
  <r>
    <m/>
    <x v="2"/>
    <m/>
    <s v="Polo Ciências"/>
    <m/>
    <s v="Activity 1 - Continuous Fermentation Development"/>
    <n v="1"/>
    <m/>
    <m/>
    <m/>
    <n v="3831.4366363636368"/>
    <n v="3831.4366363636368"/>
    <n v="0"/>
    <n v="0"/>
    <n v="0"/>
  </r>
  <r>
    <m/>
    <x v="3"/>
    <m/>
    <s v="Polo Ciências"/>
    <m/>
    <s v="Activity 1 - Continuous Fermentation Development"/>
    <n v="1"/>
    <m/>
    <m/>
    <m/>
    <n v="2646.1272727272731"/>
    <n v="2646.1272727272731"/>
    <n v="0"/>
    <n v="0"/>
    <n v="0"/>
  </r>
  <r>
    <m/>
    <x v="4"/>
    <m/>
    <s v="Polo Ciências"/>
    <m/>
    <s v="Activity 1 - Continuous Fermentation Development"/>
    <m/>
    <m/>
    <m/>
    <m/>
    <n v="0"/>
    <n v="0"/>
    <n v="0"/>
    <n v="0"/>
    <n v="0"/>
  </r>
  <r>
    <m/>
    <x v="5"/>
    <m/>
    <s v="Polo Ciências"/>
    <m/>
    <s v="Activity 1 - Continuous Fermentation Development"/>
    <m/>
    <m/>
    <m/>
    <m/>
    <n v="0"/>
    <n v="0"/>
    <n v="0"/>
    <n v="0"/>
    <n v="0"/>
  </r>
  <r>
    <m/>
    <x v="6"/>
    <m/>
    <s v="Polo Ciências"/>
    <m/>
    <s v="Activity 1 - Continuous Fermentation Development"/>
    <m/>
    <m/>
    <m/>
    <m/>
    <n v="0"/>
    <n v="0"/>
    <n v="0"/>
    <n v="0"/>
    <n v="0"/>
  </r>
  <r>
    <m/>
    <x v="7"/>
    <m/>
    <s v="Polo Ciências"/>
    <m/>
    <s v="Activity 1 - Continuous Fermentation Development"/>
    <m/>
    <m/>
    <m/>
    <m/>
    <n v="0"/>
    <n v="0"/>
    <n v="0"/>
    <n v="0"/>
    <n v="0"/>
  </r>
  <r>
    <m/>
    <x v="8"/>
    <m/>
    <s v="Polo Ciências"/>
    <m/>
    <s v="Activity 1 - Continuous Fermentation Development"/>
    <m/>
    <m/>
    <m/>
    <m/>
    <n v="0"/>
    <n v="0"/>
    <n v="0"/>
    <n v="0"/>
    <n v="0"/>
  </r>
  <r>
    <m/>
    <x v="9"/>
    <m/>
    <m/>
    <m/>
    <m/>
    <m/>
    <m/>
    <m/>
    <m/>
    <m/>
    <m/>
    <m/>
    <m/>
    <m/>
  </r>
  <r>
    <m/>
    <x v="10"/>
    <m/>
    <s v="Polo Ciências"/>
    <m/>
    <m/>
    <m/>
    <m/>
    <m/>
    <m/>
    <m/>
    <n v="0"/>
    <n v="0"/>
    <n v="0"/>
    <n v="0"/>
  </r>
  <r>
    <m/>
    <x v="0"/>
    <m/>
    <s v="Polo Ciências"/>
    <m/>
    <s v="Activity 2 - Feedstock Characterisation and Screening"/>
    <n v="0"/>
    <m/>
    <m/>
    <m/>
    <n v="0"/>
    <n v="0"/>
    <n v="0"/>
    <n v="0"/>
    <n v="0"/>
  </r>
  <r>
    <m/>
    <x v="1"/>
    <m/>
    <s v="Polo Ciências"/>
    <m/>
    <s v="Activity 2 - Feedstock Characterisation and Screening"/>
    <n v="1"/>
    <m/>
    <m/>
    <m/>
    <n v="3831.4366363636368"/>
    <n v="3831.4366363636368"/>
    <n v="0"/>
    <n v="0"/>
    <n v="0"/>
  </r>
  <r>
    <m/>
    <x v="2"/>
    <m/>
    <s v="Polo Ciências"/>
    <m/>
    <s v="Activity 2 - Feedstock Characterisation and Screening"/>
    <n v="1"/>
    <m/>
    <m/>
    <m/>
    <n v="3831.4366363636368"/>
    <n v="3831.4366363636368"/>
    <n v="0"/>
    <n v="0"/>
    <n v="0"/>
  </r>
  <r>
    <m/>
    <x v="3"/>
    <m/>
    <s v="Polo Ciências"/>
    <m/>
    <s v="Activity 2 - Feedstock Characterisation and Screening"/>
    <n v="1"/>
    <m/>
    <m/>
    <m/>
    <n v="2646.1272727272731"/>
    <n v="2646.1272727272731"/>
    <n v="0"/>
    <n v="0"/>
    <n v="0"/>
  </r>
  <r>
    <m/>
    <x v="4"/>
    <m/>
    <s v="Polo Ciências"/>
    <m/>
    <s v="Activity 2 - Feedstock Characterisation and Screening"/>
    <m/>
    <m/>
    <m/>
    <m/>
    <n v="0"/>
    <n v="0"/>
    <n v="0"/>
    <n v="0"/>
    <n v="0"/>
  </r>
  <r>
    <m/>
    <x v="5"/>
    <m/>
    <s v="Polo Ciências"/>
    <m/>
    <s v="Activity 2 - Feedstock Characterisation and Screening"/>
    <m/>
    <m/>
    <m/>
    <m/>
    <n v="0"/>
    <n v="0"/>
    <n v="0"/>
    <n v="0"/>
    <n v="0"/>
  </r>
  <r>
    <m/>
    <x v="6"/>
    <m/>
    <s v="Polo Ciências"/>
    <m/>
    <s v="Activity 2 - Feedstock Characterisation and Screening"/>
    <m/>
    <m/>
    <m/>
    <m/>
    <n v="0"/>
    <n v="0"/>
    <n v="0"/>
    <n v="0"/>
    <n v="0"/>
  </r>
  <r>
    <m/>
    <x v="7"/>
    <m/>
    <s v="Polo Ciências"/>
    <m/>
    <s v="Activity 2 - Feedstock Characterisation and Screening"/>
    <m/>
    <m/>
    <m/>
    <m/>
    <n v="0"/>
    <n v="0"/>
    <n v="0"/>
    <n v="0"/>
    <n v="0"/>
  </r>
  <r>
    <m/>
    <x v="8"/>
    <m/>
    <s v="Polo Ciências"/>
    <m/>
    <s v="Activity 2 - Feedstock Characterisation and Screening"/>
    <m/>
    <m/>
    <m/>
    <m/>
    <n v="0"/>
    <n v="0"/>
    <n v="0"/>
    <n v="0"/>
    <n v="0"/>
  </r>
  <r>
    <m/>
    <x v="9"/>
    <m/>
    <m/>
    <m/>
    <m/>
    <m/>
    <m/>
    <m/>
    <m/>
    <m/>
    <m/>
    <m/>
    <m/>
    <m/>
  </r>
  <r>
    <m/>
    <x v="10"/>
    <m/>
    <s v="Polo Ciências"/>
    <m/>
    <s v="Activity 2 - Feedstock Characterisation and Screening"/>
    <m/>
    <m/>
    <m/>
    <m/>
    <m/>
    <n v="0"/>
    <n v="0"/>
    <n v="0"/>
    <n v="0"/>
  </r>
  <r>
    <m/>
    <x v="0"/>
    <m/>
    <s v="Polo Ciências"/>
    <m/>
    <s v="Activity 3 - AI-Driven Process Intelligence Development"/>
    <m/>
    <n v="1"/>
    <m/>
    <m/>
    <n v="3831.4366363636368"/>
    <n v="0"/>
    <n v="3831.4366363636368"/>
    <n v="0"/>
    <n v="0"/>
  </r>
  <r>
    <m/>
    <x v="1"/>
    <m/>
    <s v="Polo Ciências"/>
    <m/>
    <s v="Activity 3 - AI-Driven Process Intelligence Development"/>
    <m/>
    <n v="2"/>
    <m/>
    <m/>
    <n v="7662.8732727272736"/>
    <n v="0"/>
    <n v="7662.8732727272736"/>
    <n v="0"/>
    <n v="0"/>
  </r>
  <r>
    <m/>
    <x v="2"/>
    <m/>
    <s v="Polo Ciências"/>
    <m/>
    <s v="Activity 3 - AI-Driven Process Intelligence Development"/>
    <m/>
    <n v="11"/>
    <n v="2"/>
    <m/>
    <n v="49808.67627272728"/>
    <n v="0"/>
    <n v="42145.803000000007"/>
    <n v="7662.8732727272736"/>
    <n v="0"/>
  </r>
  <r>
    <m/>
    <x v="3"/>
    <m/>
    <s v="Polo Ciências"/>
    <m/>
    <s v="Activity 3 - AI-Driven Process Intelligence Development"/>
    <n v="6"/>
    <n v="11"/>
    <n v="2"/>
    <m/>
    <n v="50276.41818181819"/>
    <n v="15876.763636363637"/>
    <n v="29107.400000000005"/>
    <n v="5292.2545454545461"/>
    <n v="0"/>
  </r>
  <r>
    <m/>
    <x v="4"/>
    <m/>
    <s v="Polo Ciências"/>
    <m/>
    <s v="Activity 3 - AI-Driven Process Intelligence Development"/>
    <n v="1.5"/>
    <n v="1"/>
    <m/>
    <m/>
    <n v="17140.483977272728"/>
    <n v="10284.290386363637"/>
    <n v="6856.1935909090907"/>
    <n v="0"/>
    <n v="0"/>
  </r>
  <r>
    <m/>
    <x v="5"/>
    <m/>
    <s v="Polo Ciências"/>
    <m/>
    <s v="Activity 3 - AI-Driven Process Intelligence Development"/>
    <n v="0.5"/>
    <n v="5"/>
    <n v="2"/>
    <m/>
    <n v="14746.244672727273"/>
    <n v="983.08297818181825"/>
    <n v="9830.8297818181818"/>
    <n v="3932.331912727273"/>
    <n v="0"/>
  </r>
  <r>
    <m/>
    <x v="6"/>
    <m/>
    <s v="Polo Ciências"/>
    <m/>
    <s v="Activity 3 - AI-Driven Process Intelligence Development"/>
    <n v="3"/>
    <n v="5"/>
    <n v="2"/>
    <m/>
    <n v="23190.348109090912"/>
    <n v="6957.104432727273"/>
    <n v="11595.174054545456"/>
    <n v="4638.069621818182"/>
    <n v="0"/>
  </r>
  <r>
    <m/>
    <x v="7"/>
    <m/>
    <s v="Polo Ciências"/>
    <m/>
    <s v="Activity 3 - AI-Driven Process Intelligence Development"/>
    <m/>
    <m/>
    <n v="2"/>
    <m/>
    <n v="15131.084970909091"/>
    <n v="0"/>
    <n v="0"/>
    <n v="15131.084970909091"/>
    <n v="0"/>
  </r>
  <r>
    <m/>
    <x v="8"/>
    <m/>
    <s v="Polo Ciências"/>
    <m/>
    <s v="Activity 3 - AI-Driven Process Intelligence Development"/>
    <n v="8"/>
    <n v="11"/>
    <m/>
    <m/>
    <n v="27331.39636363637"/>
    <n v="11507.956363636365"/>
    <n v="15823.440000000002"/>
    <n v="0"/>
    <n v="0"/>
  </r>
  <r>
    <m/>
    <x v="9"/>
    <m/>
    <m/>
    <m/>
    <m/>
    <n v="4"/>
    <n v="4"/>
    <n v="2"/>
    <m/>
    <m/>
    <n v="30262.169941818182"/>
    <n v="30262.169941818182"/>
    <n v="15131.084970909091"/>
    <n v="0"/>
  </r>
  <r>
    <m/>
    <x v="10"/>
    <m/>
    <s v="Polo Ciências"/>
    <m/>
    <m/>
    <m/>
    <m/>
    <m/>
    <m/>
    <m/>
    <n v="0"/>
    <n v="0"/>
    <n v="0"/>
    <n v="0"/>
  </r>
  <r>
    <m/>
    <x v="0"/>
    <m/>
    <s v="Polo Ciências"/>
    <m/>
    <s v="Activity 4 - Bioreactor Design Development"/>
    <m/>
    <m/>
    <m/>
    <m/>
    <n v="0"/>
    <n v="0"/>
    <n v="0"/>
    <n v="0"/>
    <n v="0"/>
  </r>
  <r>
    <m/>
    <x v="1"/>
    <m/>
    <s v="Polo Ciências"/>
    <m/>
    <s v="Activity 4 - Bioreactor Design Development"/>
    <m/>
    <m/>
    <m/>
    <m/>
    <n v="0"/>
    <n v="0"/>
    <n v="0"/>
    <n v="0"/>
    <n v="0"/>
  </r>
  <r>
    <m/>
    <x v="2"/>
    <m/>
    <s v="Polo Ciências"/>
    <m/>
    <s v="Activity 4 - Bioreactor Design Development"/>
    <n v="1"/>
    <m/>
    <m/>
    <m/>
    <n v="3831.4366363636368"/>
    <n v="3831.4366363636368"/>
    <n v="0"/>
    <n v="0"/>
    <n v="0"/>
  </r>
  <r>
    <m/>
    <x v="3"/>
    <m/>
    <s v="Polo Ciências"/>
    <m/>
    <s v="Activity 4 - Bioreactor Design Development"/>
    <n v="1"/>
    <m/>
    <m/>
    <m/>
    <n v="2646.1272727272731"/>
    <n v="2646.1272727272731"/>
    <n v="0"/>
    <n v="0"/>
    <n v="0"/>
  </r>
  <r>
    <m/>
    <x v="4"/>
    <m/>
    <s v="Polo Ciências"/>
    <m/>
    <s v="Activity 4 - Bioreactor Design Development"/>
    <m/>
    <m/>
    <m/>
    <m/>
    <n v="0"/>
    <n v="0"/>
    <n v="0"/>
    <n v="0"/>
    <n v="0"/>
  </r>
  <r>
    <m/>
    <x v="5"/>
    <m/>
    <s v="Polo Ciências"/>
    <m/>
    <s v="Activity 4 - Bioreactor Design Development"/>
    <m/>
    <m/>
    <m/>
    <m/>
    <n v="0"/>
    <n v="0"/>
    <n v="0"/>
    <n v="0"/>
    <n v="0"/>
  </r>
  <r>
    <m/>
    <x v="6"/>
    <m/>
    <s v="Polo Ciências"/>
    <m/>
    <s v="Activity 4 - Bioreactor Design Development"/>
    <m/>
    <m/>
    <m/>
    <m/>
    <n v="0"/>
    <n v="0"/>
    <n v="0"/>
    <n v="0"/>
    <n v="0"/>
  </r>
  <r>
    <m/>
    <x v="7"/>
    <m/>
    <s v="Polo Ciências"/>
    <m/>
    <s v="Activity 4 - Bioreactor Design Development"/>
    <m/>
    <m/>
    <m/>
    <m/>
    <n v="0"/>
    <n v="0"/>
    <n v="0"/>
    <n v="0"/>
    <n v="0"/>
  </r>
  <r>
    <m/>
    <x v="8"/>
    <m/>
    <s v="Polo Ciências"/>
    <m/>
    <s v="Activity 4 - Bioreactor Design Development"/>
    <m/>
    <m/>
    <m/>
    <m/>
    <n v="0"/>
    <n v="0"/>
    <n v="0"/>
    <n v="0"/>
    <n v="0"/>
  </r>
  <r>
    <m/>
    <x v="9"/>
    <m/>
    <m/>
    <m/>
    <m/>
    <m/>
    <m/>
    <m/>
    <m/>
    <m/>
    <m/>
    <m/>
    <m/>
    <m/>
  </r>
  <r>
    <m/>
    <x v="10"/>
    <m/>
    <s v="Polo Ciências"/>
    <m/>
    <m/>
    <m/>
    <m/>
    <m/>
    <m/>
    <m/>
    <n v="0"/>
    <n v="0"/>
    <n v="0"/>
    <n v="0"/>
  </r>
  <r>
    <m/>
    <x v="0"/>
    <m/>
    <s v="Polo Ciências"/>
    <m/>
    <s v="Activity 6 - Bioreactor Scale-Up"/>
    <m/>
    <m/>
    <n v="1"/>
    <m/>
    <n v="3831.4366363636368"/>
    <n v="0"/>
    <n v="0"/>
    <n v="3831.4366363636368"/>
    <n v="0"/>
  </r>
  <r>
    <m/>
    <x v="1"/>
    <m/>
    <s v="Polo Ciências"/>
    <m/>
    <s v="Activity 6 - Bioreactor Scale-Up"/>
    <m/>
    <m/>
    <n v="1.5"/>
    <m/>
    <n v="5747.1549545454554"/>
    <n v="0"/>
    <n v="0"/>
    <n v="5747.1549545454554"/>
    <n v="0"/>
  </r>
  <r>
    <m/>
    <x v="2"/>
    <m/>
    <s v="Polo Ciências"/>
    <m/>
    <s v="Activity 6 - Bioreactor Scale-Up"/>
    <m/>
    <m/>
    <n v="3"/>
    <m/>
    <n v="11494.309909090911"/>
    <n v="0"/>
    <n v="0"/>
    <n v="11494.309909090911"/>
    <n v="0"/>
  </r>
  <r>
    <m/>
    <x v="3"/>
    <m/>
    <s v="Polo Ciências"/>
    <m/>
    <s v="Activity 6 - Bioreactor Scale-Up"/>
    <m/>
    <m/>
    <n v="6"/>
    <m/>
    <n v="15876.763636363637"/>
    <n v="0"/>
    <n v="0"/>
    <n v="15876.763636363637"/>
    <n v="0"/>
  </r>
  <r>
    <m/>
    <x v="4"/>
    <m/>
    <s v="Polo Ciências"/>
    <m/>
    <s v="Activity 6 - Bioreactor Scale-Up"/>
    <m/>
    <m/>
    <n v="1"/>
    <m/>
    <n v="6856.1935909090907"/>
    <n v="0"/>
    <n v="0"/>
    <n v="6856.1935909090907"/>
    <n v="0"/>
  </r>
  <r>
    <m/>
    <x v="5"/>
    <m/>
    <s v="Polo Ciências"/>
    <m/>
    <s v="Activity 6 - Bioreactor Scale-Up"/>
    <m/>
    <m/>
    <n v="2"/>
    <m/>
    <n v="3932.331912727273"/>
    <n v="0"/>
    <n v="0"/>
    <n v="3932.331912727273"/>
    <n v="0"/>
  </r>
  <r>
    <m/>
    <x v="6"/>
    <m/>
    <s v="Polo Ciências"/>
    <m/>
    <s v="Activity 6 - Bioreactor Scale-Up"/>
    <m/>
    <m/>
    <n v="2"/>
    <m/>
    <n v="4638.069621818182"/>
    <n v="0"/>
    <n v="0"/>
    <n v="4638.069621818182"/>
    <n v="0"/>
  </r>
  <r>
    <m/>
    <x v="7"/>
    <m/>
    <s v="Polo Ciências"/>
    <m/>
    <s v="Activity 6 - Bioreactor Scale-Up"/>
    <m/>
    <m/>
    <n v="2"/>
    <m/>
    <n v="15131.084970909091"/>
    <n v="0"/>
    <n v="0"/>
    <n v="15131.084970909091"/>
    <n v="0"/>
  </r>
  <r>
    <m/>
    <x v="8"/>
    <m/>
    <s v="Polo Ciências"/>
    <m/>
    <s v="Activity 6 - Bioreactor Scale-Up"/>
    <m/>
    <m/>
    <n v="3"/>
    <m/>
    <n v="4315.4836363636368"/>
    <n v="0"/>
    <n v="0"/>
    <n v="4315.4836363636368"/>
    <n v="0"/>
  </r>
  <r>
    <m/>
    <x v="9"/>
    <m/>
    <s v="Polo Ciências"/>
    <m/>
    <m/>
    <m/>
    <m/>
    <n v="2"/>
    <m/>
    <n v="15131.084970909091"/>
    <n v="0"/>
    <n v="0"/>
    <n v="15131.084970909091"/>
    <n v="0"/>
  </r>
  <r>
    <m/>
    <x v="10"/>
    <m/>
    <s v="Polo Ciências"/>
    <m/>
    <m/>
    <m/>
    <m/>
    <m/>
    <m/>
    <m/>
    <m/>
    <m/>
    <m/>
    <m/>
  </r>
  <r>
    <m/>
    <x v="0"/>
    <m/>
    <s v="Polo Ciências"/>
    <m/>
    <s v="Activity 9 - Promotion, Dissemination &amp; IP"/>
    <m/>
    <n v="0.5"/>
    <n v="1"/>
    <m/>
    <n v="5747.1549545454554"/>
    <n v="0"/>
    <n v="1915.7183181818184"/>
    <n v="3831.4366363636368"/>
    <n v="0"/>
  </r>
  <r>
    <m/>
    <x v="1"/>
    <m/>
    <s v="Polo Ciências"/>
    <m/>
    <s v="Activity 9 - Promotion, Dissemination &amp; IP"/>
    <n v="0.5"/>
    <m/>
    <m/>
    <m/>
    <n v="1915.7183181818184"/>
    <n v="1915.7183181818184"/>
    <n v="0"/>
    <n v="0"/>
    <n v="0"/>
  </r>
  <r>
    <m/>
    <x v="2"/>
    <m/>
    <s v="Polo Ciências"/>
    <m/>
    <s v="Activity 9 - Promotion, Dissemination &amp; IP"/>
    <n v="1"/>
    <m/>
    <n v="1"/>
    <m/>
    <n v="7662.8732727272736"/>
    <n v="3831.4366363636368"/>
    <n v="0"/>
    <n v="3831.4366363636368"/>
    <n v="0"/>
  </r>
  <r>
    <m/>
    <x v="3"/>
    <m/>
    <s v="Polo Ciências"/>
    <m/>
    <s v="Activity 9 - Promotion, Dissemination &amp; IP"/>
    <n v="1"/>
    <m/>
    <n v="2"/>
    <m/>
    <n v="7938.3818181818187"/>
    <n v="2646.1272727272731"/>
    <n v="0"/>
    <n v="5292.2545454545461"/>
    <n v="0"/>
  </r>
  <r>
    <m/>
    <x v="4"/>
    <m/>
    <s v="Polo Ciências"/>
    <m/>
    <s v="Activity 9 - Promotion, Dissemination &amp; IP"/>
    <m/>
    <n v="0.5"/>
    <m/>
    <m/>
    <n v="3428.0967954545454"/>
    <n v="0"/>
    <n v="3428.0967954545454"/>
    <n v="0"/>
    <n v="0"/>
  </r>
  <r>
    <m/>
    <x v="5"/>
    <m/>
    <s v="Polo Ciências"/>
    <m/>
    <s v="Activity 9 - Promotion, Dissemination &amp; IP"/>
    <n v="0"/>
    <m/>
    <m/>
    <m/>
    <n v="0"/>
    <n v="0"/>
    <n v="0"/>
    <n v="0"/>
    <n v="0"/>
  </r>
  <r>
    <m/>
    <x v="6"/>
    <m/>
    <s v="Polo Ciências"/>
    <m/>
    <s v="Activity 9 - Promotion, Dissemination &amp; IP"/>
    <n v="0"/>
    <m/>
    <m/>
    <m/>
    <n v="0"/>
    <n v="0"/>
    <n v="0"/>
    <n v="0"/>
    <n v="0"/>
  </r>
  <r>
    <m/>
    <x v="7"/>
    <m/>
    <s v="Polo Ciências"/>
    <m/>
    <s v="Activity 9 - Promotion, Dissemination &amp; IP"/>
    <m/>
    <m/>
    <n v="0.5"/>
    <m/>
    <n v="3782.7712427272727"/>
    <n v="0"/>
    <n v="0"/>
    <n v="3782.7712427272727"/>
    <n v="0"/>
  </r>
  <r>
    <m/>
    <x v="8"/>
    <m/>
    <s v="Polo Ciências"/>
    <m/>
    <s v="Activity 9 - Promotion, Dissemination &amp; IP"/>
    <m/>
    <m/>
    <m/>
    <m/>
    <n v="0"/>
    <n v="0"/>
    <n v="0"/>
    <n v="0"/>
    <n v="0"/>
  </r>
  <r>
    <m/>
    <x v="9"/>
    <m/>
    <m/>
    <m/>
    <m/>
    <m/>
    <m/>
    <m/>
    <m/>
    <m/>
    <m/>
    <m/>
    <m/>
    <m/>
  </r>
  <r>
    <m/>
    <x v="10"/>
    <m/>
    <s v="Polo Ciências"/>
    <m/>
    <m/>
    <m/>
    <m/>
    <m/>
    <m/>
    <m/>
    <n v="0"/>
    <n v="0"/>
    <n v="0"/>
    <n v="0"/>
  </r>
  <r>
    <m/>
    <x v="0"/>
    <m/>
    <s v="Polo Ciências"/>
    <m/>
    <s v="Activity 10 - Project Management"/>
    <n v="0"/>
    <n v="0.5"/>
    <n v="0.5"/>
    <m/>
    <n v="3831.4366363636368"/>
    <n v="0"/>
    <n v="1915.7183181818184"/>
    <n v="1915.7183181818184"/>
    <n v="0"/>
  </r>
  <r>
    <m/>
    <x v="1"/>
    <m/>
    <s v="Polo Ciências"/>
    <m/>
    <s v="Activity 10 - Project Management"/>
    <n v="0.5"/>
    <n v="0.5"/>
    <m/>
    <m/>
    <n v="3831.4366363636368"/>
    <n v="1915.7183181818184"/>
    <n v="1915.7183181818184"/>
    <n v="0"/>
    <n v="0"/>
  </r>
  <r>
    <m/>
    <x v="2"/>
    <m/>
    <s v="Polo Ciências"/>
    <m/>
    <s v="Activity 10 - Project Management"/>
    <n v="0.5"/>
    <m/>
    <n v="0.5"/>
    <m/>
    <n v="3831.4366363636368"/>
    <n v="1915.7183181818184"/>
    <n v="0"/>
    <n v="1915.7183181818184"/>
    <n v="0"/>
  </r>
  <r>
    <m/>
    <x v="3"/>
    <m/>
    <s v="Polo Ciências"/>
    <m/>
    <s v="Activity 10 - Project Management"/>
    <n v="1"/>
    <m/>
    <n v="1"/>
    <m/>
    <n v="5292.2545454545461"/>
    <n v="2646.1272727272731"/>
    <n v="0"/>
    <n v="2646.1272727272731"/>
    <n v="0"/>
  </r>
  <r>
    <m/>
    <x v="4"/>
    <m/>
    <s v="Polo Ciências"/>
    <m/>
    <s v="Activity 10 - Project Management"/>
    <n v="1"/>
    <n v="1"/>
    <n v="1.5"/>
    <m/>
    <n v="23996.677568181818"/>
    <n v="6856.1935909090907"/>
    <n v="6856.1935909090907"/>
    <n v="10284.290386363637"/>
    <n v="0"/>
  </r>
  <r>
    <m/>
    <x v="5"/>
    <m/>
    <s v="Polo Ciências"/>
    <m/>
    <s v="Activity 10 - Project Management"/>
    <m/>
    <m/>
    <m/>
    <m/>
    <n v="0"/>
    <n v="0"/>
    <n v="0"/>
    <n v="0"/>
    <n v="0"/>
  </r>
  <r>
    <m/>
    <x v="6"/>
    <m/>
    <s v="Polo Ciências"/>
    <m/>
    <s v="Activity 10 - Project Management"/>
    <m/>
    <m/>
    <m/>
    <m/>
    <n v="0"/>
    <n v="0"/>
    <n v="0"/>
    <n v="0"/>
    <n v="0"/>
  </r>
  <r>
    <m/>
    <x v="7"/>
    <m/>
    <s v="Polo Ciências"/>
    <m/>
    <s v="Activity 10 - Project Management"/>
    <m/>
    <m/>
    <n v="1"/>
    <m/>
    <n v="7565.5424854545454"/>
    <n v="0"/>
    <n v="0"/>
    <n v="7565.5424854545454"/>
    <n v="0"/>
  </r>
  <r>
    <m/>
    <x v="8"/>
    <m/>
    <s v="Polo Ciências"/>
    <m/>
    <s v="Activity 10 - Project Management"/>
    <m/>
    <m/>
    <m/>
    <m/>
    <n v="0"/>
    <n v="0"/>
    <n v="0"/>
    <n v="0"/>
    <n v="0"/>
  </r>
  <r>
    <m/>
    <x v="9"/>
    <m/>
    <m/>
    <m/>
    <m/>
    <m/>
    <m/>
    <m/>
    <m/>
    <m/>
    <m/>
    <m/>
    <m/>
    <m/>
  </r>
  <r>
    <m/>
    <x v="10"/>
    <m/>
    <s v="Polo Ciências"/>
    <m/>
    <m/>
    <m/>
    <m/>
    <m/>
    <m/>
    <m/>
    <n v="0"/>
    <n v="0"/>
    <n v="0"/>
    <n v="0"/>
  </r>
  <r>
    <m/>
    <x v="0"/>
    <m/>
    <s v="Polo Ciências"/>
    <m/>
    <s v="Activity 11 - CMO Build"/>
    <m/>
    <m/>
    <m/>
    <m/>
    <n v="0"/>
    <n v="0"/>
    <n v="0"/>
    <n v="0"/>
    <n v="0"/>
  </r>
  <r>
    <m/>
    <x v="1"/>
    <m/>
    <s v="Polo Ciências"/>
    <m/>
    <s v="Activity 11 - CMO Build"/>
    <m/>
    <m/>
    <m/>
    <m/>
    <n v="0"/>
    <n v="0"/>
    <n v="0"/>
    <n v="0"/>
    <n v="0"/>
  </r>
  <r>
    <m/>
    <x v="2"/>
    <m/>
    <s v="Polo Ciências"/>
    <m/>
    <s v="Activity 11 - CMO Build"/>
    <m/>
    <m/>
    <m/>
    <m/>
    <n v="0"/>
    <n v="0"/>
    <n v="0"/>
    <n v="0"/>
    <n v="0"/>
  </r>
  <r>
    <m/>
    <x v="3"/>
    <m/>
    <s v="Polo Ciências"/>
    <m/>
    <s v="Activity 11 - CMO Build"/>
    <m/>
    <m/>
    <m/>
    <m/>
    <n v="0"/>
    <n v="0"/>
    <n v="0"/>
    <n v="0"/>
    <n v="0"/>
  </r>
  <r>
    <m/>
    <x v="4"/>
    <m/>
    <s v="Polo Ciências"/>
    <m/>
    <s v="Activity 11 - CMO Build"/>
    <m/>
    <m/>
    <m/>
    <m/>
    <n v="0"/>
    <n v="0"/>
    <n v="0"/>
    <n v="0"/>
    <n v="0"/>
  </r>
  <r>
    <m/>
    <x v="5"/>
    <m/>
    <s v="Polo Ciências"/>
    <m/>
    <s v="Activity 11 - CMO Build"/>
    <m/>
    <m/>
    <m/>
    <m/>
    <n v="0"/>
    <n v="0"/>
    <n v="0"/>
    <n v="0"/>
    <n v="0"/>
  </r>
  <r>
    <m/>
    <x v="6"/>
    <m/>
    <s v="Polo Ciências"/>
    <m/>
    <s v="Activity 11 - CMO Build"/>
    <m/>
    <m/>
    <m/>
    <m/>
    <n v="0"/>
    <n v="0"/>
    <n v="0"/>
    <n v="0"/>
    <n v="0"/>
  </r>
  <r>
    <m/>
    <x v="7"/>
    <m/>
    <s v="Polo Ciências"/>
    <m/>
    <s v="Activity 11 - CMO Build"/>
    <m/>
    <m/>
    <m/>
    <m/>
    <n v="0"/>
    <n v="0"/>
    <n v="0"/>
    <n v="0"/>
    <n v="0"/>
  </r>
  <r>
    <m/>
    <x v="8"/>
    <m/>
    <s v="Polo Ciências"/>
    <m/>
    <s v="Activity 11 - CMO Build"/>
    <m/>
    <m/>
    <m/>
    <m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F221A5-05E2-4CFC-BB0F-49CF1A4CB4FC}" name="Tabela Dinâmica4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E15" firstHeaderRow="0" firstDataRow="1" firstDataCol="1"/>
  <pivotFields count="15">
    <pivotField showAll="0"/>
    <pivotField axis="axisRow" showAll="0">
      <items count="12">
        <item x="2"/>
        <item x="0"/>
        <item x="3"/>
        <item x="4"/>
        <item x="1"/>
        <item x="5"/>
        <item x="6"/>
        <item x="8"/>
        <item x="7"/>
        <item x="9"/>
        <item x="10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oma de ETI 0_x000a_(Ano 2027)" fld="6" baseField="0" baseItem="0"/>
    <dataField name="Soma de ETI 1_x000a_(Ano 2028)" fld="7" baseField="0" baseItem="0"/>
    <dataField name="Soma de ET2_x000a_(Ano 2029)" fld="8" baseField="0" baseItem="0"/>
    <dataField name="Soma de ET3" fld="9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6-04-22T10:47:10.05" personId="{80A4B440-1FD9-4D95-9B22-4A57D41BC67D}" id="{7AE90E45-7506-455D-9F3B-C0A2587F72A0}">
    <text xml:space="preserve">Nos recursos CAP não devem colocar sede - Polo Ciências ou algo do genero
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56F4-950E-4EDE-A1D9-17A0FC4875BB}">
  <dimension ref="A1:A21"/>
  <sheetViews>
    <sheetView workbookViewId="0">
      <selection activeCell="A19" sqref="A19"/>
    </sheetView>
  </sheetViews>
  <sheetFormatPr defaultColWidth="8.88671875" defaultRowHeight="14.4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C47C-4DCF-42C3-88C5-83DD2F1970E9}">
  <dimension ref="A1:P20"/>
  <sheetViews>
    <sheetView workbookViewId="0">
      <selection activeCell="P2" sqref="P2:P13"/>
    </sheetView>
  </sheetViews>
  <sheetFormatPr defaultColWidth="8.88671875" defaultRowHeight="14.4"/>
  <cols>
    <col min="2" max="2" width="13.6640625" customWidth="1"/>
    <col min="3" max="3" width="7.6640625" customWidth="1"/>
    <col min="4" max="4" width="12.109375" customWidth="1"/>
    <col min="5" max="5" width="40.44140625" customWidth="1"/>
    <col min="6" max="6" width="20.109375" customWidth="1"/>
    <col min="7" max="7" width="54.6640625" bestFit="1" customWidth="1"/>
    <col min="8" max="8" width="17.33203125" customWidth="1"/>
    <col min="9" max="10" width="13" customWidth="1"/>
    <col min="11" max="11" width="11.44140625" customWidth="1"/>
    <col min="12" max="12" width="11.88671875" customWidth="1"/>
    <col min="13" max="13" width="9.109375" customWidth="1"/>
  </cols>
  <sheetData>
    <row r="1" spans="1:16" ht="41.25" customHeight="1">
      <c r="A1" s="5" t="s">
        <v>21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6" t="s">
        <v>32</v>
      </c>
      <c r="M1" s="9" t="s">
        <v>33</v>
      </c>
    </row>
    <row r="2" spans="1:16">
      <c r="A2" s="4"/>
      <c r="B2" s="4" t="s">
        <v>34</v>
      </c>
      <c r="C2" s="4" t="s">
        <v>35</v>
      </c>
      <c r="D2" s="12"/>
      <c r="E2" s="4" t="s">
        <v>36</v>
      </c>
      <c r="F2" s="4" t="s">
        <v>37</v>
      </c>
      <c r="G2" s="4" t="s">
        <v>38</v>
      </c>
      <c r="H2" s="8">
        <f>1751.58</f>
        <v>1751.58</v>
      </c>
      <c r="I2" s="4">
        <f>IF(G2="Bolseiro",158.99,0)</f>
        <v>0</v>
      </c>
      <c r="J2" s="4">
        <f>IF(G2="Bolseiro",68.65,0)</f>
        <v>0</v>
      </c>
      <c r="K2" s="7">
        <f>IF(G2="Bolseiro",0,22.3%)</f>
        <v>0.223</v>
      </c>
      <c r="L2" s="4"/>
      <c r="M2" s="12">
        <f>IF(G2="Bolseiro",(H2+I2+J2)*12/11,H2*(1+K2)*14/11)</f>
        <v>2726.4138872727272</v>
      </c>
      <c r="O2" s="8">
        <f>1751.58</f>
        <v>1751.58</v>
      </c>
      <c r="P2" s="70">
        <f>O2-H2</f>
        <v>0</v>
      </c>
    </row>
    <row r="3" spans="1:16">
      <c r="A3" s="4"/>
      <c r="B3" s="4" t="s">
        <v>34</v>
      </c>
      <c r="C3" s="4" t="s">
        <v>35</v>
      </c>
      <c r="D3" s="12"/>
      <c r="E3" s="4" t="s">
        <v>39</v>
      </c>
      <c r="F3" s="4" t="s">
        <v>40</v>
      </c>
      <c r="G3" s="4" t="s">
        <v>41</v>
      </c>
      <c r="H3" s="8">
        <v>3851.67</v>
      </c>
      <c r="I3" s="4">
        <f t="shared" ref="I3:I20" si="0">IF(G3="Bolseiro",158.99,0)</f>
        <v>0</v>
      </c>
      <c r="J3" s="4">
        <f t="shared" ref="J3:J20" si="1">IF(G3="Bolseiro",68.65,0)</f>
        <v>0</v>
      </c>
      <c r="K3" s="7">
        <f t="shared" ref="K3:K20" si="2">IF(G3="Bolseiro",0,22.3%)</f>
        <v>0.223</v>
      </c>
      <c r="L3" s="4"/>
      <c r="M3" s="12">
        <f t="shared" ref="M3:M20" si="3">IF(G3="Bolseiro",(H3+I3+J3)*12/11,H3*(1+K3)*14/11)</f>
        <v>5995.2994309090918</v>
      </c>
      <c r="O3" s="8">
        <v>3851.67</v>
      </c>
      <c r="P3" s="70">
        <f t="shared" ref="P3:P13" si="4">O3-H3</f>
        <v>0</v>
      </c>
    </row>
    <row r="4" spans="1:16">
      <c r="A4" s="4"/>
      <c r="B4" s="4" t="s">
        <v>34</v>
      </c>
      <c r="C4" s="4" t="s">
        <v>35</v>
      </c>
      <c r="D4" s="12"/>
      <c r="E4" s="4" t="s">
        <v>42</v>
      </c>
      <c r="F4" s="4" t="s">
        <v>37</v>
      </c>
      <c r="G4" s="4" t="s">
        <v>43</v>
      </c>
      <c r="H4" s="8">
        <f>1812</f>
        <v>1812</v>
      </c>
      <c r="I4" s="4">
        <f t="shared" si="0"/>
        <v>0</v>
      </c>
      <c r="J4" s="4">
        <f t="shared" si="1"/>
        <v>0</v>
      </c>
      <c r="K4" s="7">
        <f t="shared" si="2"/>
        <v>0.223</v>
      </c>
      <c r="L4" s="4"/>
      <c r="M4" s="12">
        <f t="shared" si="3"/>
        <v>2820.4603636363636</v>
      </c>
      <c r="O4" s="8">
        <f>1812</f>
        <v>1812</v>
      </c>
      <c r="P4" s="70">
        <f t="shared" si="4"/>
        <v>0</v>
      </c>
    </row>
    <row r="5" spans="1:16">
      <c r="A5" s="4"/>
      <c r="B5" s="4" t="s">
        <v>34</v>
      </c>
      <c r="C5" s="4" t="s">
        <v>35</v>
      </c>
      <c r="D5" s="12"/>
      <c r="E5" s="4" t="s">
        <v>44</v>
      </c>
      <c r="F5" s="4" t="s">
        <v>37</v>
      </c>
      <c r="G5" s="4" t="s">
        <v>43</v>
      </c>
      <c r="H5" s="8">
        <f>1896.07</f>
        <v>1896.07</v>
      </c>
      <c r="I5" s="4">
        <f t="shared" si="0"/>
        <v>0</v>
      </c>
      <c r="J5" s="4">
        <f t="shared" si="1"/>
        <v>0</v>
      </c>
      <c r="K5" s="7">
        <f t="shared" si="2"/>
        <v>0.223</v>
      </c>
      <c r="L5" s="4"/>
      <c r="M5" s="12">
        <f t="shared" si="3"/>
        <v>2951.3191400000001</v>
      </c>
      <c r="O5" s="8">
        <f>1896.07</f>
        <v>1896.07</v>
      </c>
      <c r="P5" s="70">
        <f t="shared" si="4"/>
        <v>0</v>
      </c>
    </row>
    <row r="6" spans="1:16">
      <c r="A6" s="4"/>
      <c r="B6" s="4" t="s">
        <v>34</v>
      </c>
      <c r="C6" s="4" t="s">
        <v>35</v>
      </c>
      <c r="D6" s="12"/>
      <c r="E6" s="4" t="s">
        <v>45</v>
      </c>
      <c r="F6" s="4" t="s">
        <v>37</v>
      </c>
      <c r="G6" s="4" t="s">
        <v>43</v>
      </c>
      <c r="H6" s="8">
        <f>3666.51</f>
        <v>3666.51</v>
      </c>
      <c r="I6" s="4">
        <f t="shared" si="0"/>
        <v>0</v>
      </c>
      <c r="J6" s="4">
        <f t="shared" si="1"/>
        <v>0</v>
      </c>
      <c r="K6" s="7">
        <f t="shared" si="2"/>
        <v>0.223</v>
      </c>
      <c r="L6" s="4"/>
      <c r="M6" s="12">
        <f t="shared" si="3"/>
        <v>5707.0894745454552</v>
      </c>
      <c r="O6" s="8">
        <f>3666.51</f>
        <v>3666.51</v>
      </c>
      <c r="P6" s="70">
        <f t="shared" si="4"/>
        <v>0</v>
      </c>
    </row>
    <row r="7" spans="1:16">
      <c r="A7" s="4"/>
      <c r="B7" s="4" t="s">
        <v>34</v>
      </c>
      <c r="C7" s="4" t="s">
        <v>35</v>
      </c>
      <c r="D7" s="12"/>
      <c r="E7" s="4" t="s">
        <v>46</v>
      </c>
      <c r="F7" s="4" t="s">
        <v>40</v>
      </c>
      <c r="G7" s="4" t="s">
        <v>43</v>
      </c>
      <c r="H7" s="8">
        <v>4587.63</v>
      </c>
      <c r="I7" s="4">
        <f t="shared" si="0"/>
        <v>0</v>
      </c>
      <c r="J7" s="4">
        <f t="shared" si="1"/>
        <v>0</v>
      </c>
      <c r="K7" s="7">
        <f t="shared" si="2"/>
        <v>0.223</v>
      </c>
      <c r="L7" s="4"/>
      <c r="M7" s="12">
        <f t="shared" si="3"/>
        <v>7140.8546236363645</v>
      </c>
      <c r="O7" s="8">
        <v>4587.63</v>
      </c>
      <c r="P7" s="70">
        <f t="shared" si="4"/>
        <v>0</v>
      </c>
    </row>
    <row r="8" spans="1:16">
      <c r="A8" s="4"/>
      <c r="B8" s="4" t="s">
        <v>34</v>
      </c>
      <c r="C8" s="4" t="s">
        <v>35</v>
      </c>
      <c r="D8" s="12"/>
      <c r="E8" s="18" t="s">
        <v>47</v>
      </c>
      <c r="F8" s="18" t="s">
        <v>40</v>
      </c>
      <c r="G8" s="4" t="s">
        <v>41</v>
      </c>
      <c r="H8" s="33">
        <f>4035</f>
        <v>4035</v>
      </c>
      <c r="I8" s="18">
        <f t="shared" si="0"/>
        <v>0</v>
      </c>
      <c r="J8" s="18">
        <f t="shared" si="1"/>
        <v>0</v>
      </c>
      <c r="K8" s="19">
        <f t="shared" si="2"/>
        <v>0.223</v>
      </c>
      <c r="L8" s="18" t="s">
        <v>48</v>
      </c>
      <c r="M8" s="12">
        <f t="shared" si="3"/>
        <v>6280.6609090909096</v>
      </c>
      <c r="O8" s="33">
        <f>4035</f>
        <v>4035</v>
      </c>
      <c r="P8" s="70">
        <f t="shared" si="4"/>
        <v>0</v>
      </c>
    </row>
    <row r="9" spans="1:16">
      <c r="A9" s="4"/>
      <c r="B9" s="4" t="s">
        <v>34</v>
      </c>
      <c r="C9" s="4" t="s">
        <v>35</v>
      </c>
      <c r="D9" s="12"/>
      <c r="E9" s="4" t="s">
        <v>49</v>
      </c>
      <c r="F9" s="4" t="s">
        <v>40</v>
      </c>
      <c r="G9" s="4" t="s">
        <v>41</v>
      </c>
      <c r="H9" s="8">
        <f>3576.56</f>
        <v>3576.56</v>
      </c>
      <c r="I9" s="4">
        <f t="shared" si="0"/>
        <v>0</v>
      </c>
      <c r="J9" s="4">
        <f t="shared" si="1"/>
        <v>0</v>
      </c>
      <c r="K9" s="7">
        <f t="shared" si="2"/>
        <v>0.223</v>
      </c>
      <c r="L9" s="4"/>
      <c r="M9" s="12">
        <f t="shared" si="3"/>
        <v>5567.0782109090906</v>
      </c>
      <c r="O9" s="8">
        <f>3576.56</f>
        <v>3576.56</v>
      </c>
      <c r="P9" s="70">
        <f t="shared" si="4"/>
        <v>0</v>
      </c>
    </row>
    <row r="10" spans="1:16">
      <c r="A10" s="4"/>
      <c r="B10" s="4" t="s">
        <v>34</v>
      </c>
      <c r="C10" s="4" t="s">
        <v>35</v>
      </c>
      <c r="D10" s="12"/>
      <c r="E10" s="4" t="s">
        <v>50</v>
      </c>
      <c r="F10" s="4" t="s">
        <v>40</v>
      </c>
      <c r="G10" s="4" t="s">
        <v>43</v>
      </c>
      <c r="H10" s="8">
        <f>3021.09</f>
        <v>3021.09</v>
      </c>
      <c r="I10" s="4">
        <f t="shared" si="0"/>
        <v>0</v>
      </c>
      <c r="J10" s="4">
        <f t="shared" si="1"/>
        <v>0</v>
      </c>
      <c r="K10" s="7">
        <f t="shared" si="2"/>
        <v>0.223</v>
      </c>
      <c r="L10" s="4"/>
      <c r="M10" s="12">
        <f t="shared" si="3"/>
        <v>4702.4639072727286</v>
      </c>
      <c r="O10" s="8">
        <f>3021.09</f>
        <v>3021.09</v>
      </c>
      <c r="P10" s="70">
        <f t="shared" si="4"/>
        <v>0</v>
      </c>
    </row>
    <row r="11" spans="1:16">
      <c r="A11" s="4"/>
      <c r="B11" s="4" t="s">
        <v>34</v>
      </c>
      <c r="C11" s="4" t="s">
        <v>35</v>
      </c>
      <c r="D11" s="12"/>
      <c r="E11" s="4" t="s">
        <v>51</v>
      </c>
      <c r="F11" s="4" t="s">
        <v>40</v>
      </c>
      <c r="G11" s="4" t="s">
        <v>43</v>
      </c>
      <c r="H11" s="8">
        <v>3267.63</v>
      </c>
      <c r="I11" s="4">
        <f t="shared" si="0"/>
        <v>0</v>
      </c>
      <c r="J11" s="4">
        <f t="shared" si="1"/>
        <v>0</v>
      </c>
      <c r="K11" s="7">
        <f t="shared" si="2"/>
        <v>0.223</v>
      </c>
      <c r="L11" s="4"/>
      <c r="M11" s="12">
        <f t="shared" si="3"/>
        <v>5086.2146236363642</v>
      </c>
      <c r="O11" s="8">
        <v>3267.63</v>
      </c>
      <c r="P11" s="70">
        <f t="shared" si="4"/>
        <v>0</v>
      </c>
    </row>
    <row r="12" spans="1:16">
      <c r="A12" s="4"/>
      <c r="B12" s="4" t="s">
        <v>34</v>
      </c>
      <c r="C12" s="4" t="s">
        <v>35</v>
      </c>
      <c r="D12" s="12"/>
      <c r="E12" s="4" t="s">
        <v>52</v>
      </c>
      <c r="F12" s="4" t="s">
        <v>40</v>
      </c>
      <c r="G12" s="4" t="s">
        <v>41</v>
      </c>
      <c r="H12" s="8">
        <f>4218.5</f>
        <v>4218.5</v>
      </c>
      <c r="I12" s="4">
        <f t="shared" si="0"/>
        <v>0</v>
      </c>
      <c r="J12" s="4">
        <f t="shared" si="1"/>
        <v>0</v>
      </c>
      <c r="K12" s="7">
        <f t="shared" si="2"/>
        <v>0.223</v>
      </c>
      <c r="L12" s="4"/>
      <c r="M12" s="12">
        <f t="shared" si="3"/>
        <v>6566.2870000000003</v>
      </c>
      <c r="O12" s="8">
        <f>4218.5</f>
        <v>4218.5</v>
      </c>
      <c r="P12" s="70">
        <f t="shared" si="4"/>
        <v>0</v>
      </c>
    </row>
    <row r="13" spans="1:16">
      <c r="A13" s="4"/>
      <c r="B13" s="4" t="s">
        <v>34</v>
      </c>
      <c r="C13" s="4" t="s">
        <v>35</v>
      </c>
      <c r="D13" s="12"/>
      <c r="E13" s="4" t="s">
        <v>53</v>
      </c>
      <c r="F13" s="4" t="s">
        <v>40</v>
      </c>
      <c r="G13" s="4" t="s">
        <v>41</v>
      </c>
      <c r="H13" s="8">
        <f>3576.56</f>
        <v>3576.56</v>
      </c>
      <c r="I13" s="4">
        <f t="shared" si="0"/>
        <v>0</v>
      </c>
      <c r="J13" s="4">
        <f t="shared" si="1"/>
        <v>0</v>
      </c>
      <c r="K13" s="7">
        <f t="shared" si="2"/>
        <v>0.223</v>
      </c>
      <c r="L13" s="4"/>
      <c r="M13" s="12">
        <f t="shared" si="3"/>
        <v>5567.0782109090906</v>
      </c>
      <c r="O13" s="8">
        <f>3576.56</f>
        <v>3576.56</v>
      </c>
      <c r="P13" s="70">
        <f t="shared" si="4"/>
        <v>0</v>
      </c>
    </row>
    <row r="14" spans="1:16">
      <c r="A14" s="4"/>
      <c r="B14" s="4"/>
      <c r="C14" s="4"/>
      <c r="D14" s="12"/>
      <c r="E14" s="4"/>
      <c r="F14" s="4"/>
      <c r="G14" s="4"/>
      <c r="H14" s="8"/>
      <c r="I14" s="4">
        <f t="shared" si="0"/>
        <v>0</v>
      </c>
      <c r="J14" s="4">
        <f t="shared" si="1"/>
        <v>0</v>
      </c>
      <c r="K14" s="7">
        <f t="shared" si="2"/>
        <v>0.223</v>
      </c>
      <c r="L14" s="4"/>
      <c r="M14" s="12">
        <f t="shared" si="3"/>
        <v>0</v>
      </c>
    </row>
    <row r="15" spans="1:16">
      <c r="A15" s="4"/>
      <c r="B15" s="4"/>
      <c r="C15" s="4"/>
      <c r="D15" s="12"/>
      <c r="E15" s="4"/>
      <c r="F15" s="4"/>
      <c r="G15" s="4"/>
      <c r="H15" s="4"/>
      <c r="I15" s="4">
        <f t="shared" si="0"/>
        <v>0</v>
      </c>
      <c r="J15" s="4">
        <f t="shared" si="1"/>
        <v>0</v>
      </c>
      <c r="K15" s="7">
        <f t="shared" si="2"/>
        <v>0.223</v>
      </c>
      <c r="L15" s="4"/>
      <c r="M15" s="12">
        <f t="shared" si="3"/>
        <v>0</v>
      </c>
    </row>
    <row r="16" spans="1:16">
      <c r="A16" s="4"/>
      <c r="B16" s="4"/>
      <c r="C16" s="4"/>
      <c r="D16" s="12"/>
      <c r="E16" s="4"/>
      <c r="F16" s="4"/>
      <c r="G16" s="4"/>
      <c r="H16" s="4"/>
      <c r="I16" s="4">
        <f t="shared" si="0"/>
        <v>0</v>
      </c>
      <c r="J16" s="4">
        <f t="shared" si="1"/>
        <v>0</v>
      </c>
      <c r="K16" s="7">
        <f t="shared" si="2"/>
        <v>0.223</v>
      </c>
      <c r="L16" s="4"/>
      <c r="M16" s="12">
        <f t="shared" si="3"/>
        <v>0</v>
      </c>
    </row>
    <row r="17" spans="1:13">
      <c r="A17" s="4"/>
      <c r="B17" s="4"/>
      <c r="C17" s="4"/>
      <c r="D17" s="12"/>
      <c r="E17" s="4"/>
      <c r="F17" s="4"/>
      <c r="G17" s="4"/>
      <c r="H17" s="4"/>
      <c r="I17" s="4">
        <f t="shared" si="0"/>
        <v>0</v>
      </c>
      <c r="J17" s="4">
        <f t="shared" si="1"/>
        <v>0</v>
      </c>
      <c r="K17" s="7">
        <f t="shared" si="2"/>
        <v>0.223</v>
      </c>
      <c r="L17" s="4"/>
      <c r="M17" s="12">
        <f t="shared" si="3"/>
        <v>0</v>
      </c>
    </row>
    <row r="18" spans="1:13">
      <c r="A18" s="4"/>
      <c r="B18" s="4"/>
      <c r="C18" s="4"/>
      <c r="D18" s="12"/>
      <c r="E18" s="4"/>
      <c r="F18" s="4"/>
      <c r="G18" s="4"/>
      <c r="H18" s="4"/>
      <c r="I18" s="4">
        <f t="shared" si="0"/>
        <v>0</v>
      </c>
      <c r="J18" s="4">
        <f t="shared" si="1"/>
        <v>0</v>
      </c>
      <c r="K18" s="7">
        <f t="shared" si="2"/>
        <v>0.223</v>
      </c>
      <c r="L18" s="4"/>
      <c r="M18" s="12">
        <f t="shared" si="3"/>
        <v>0</v>
      </c>
    </row>
    <row r="19" spans="1:13">
      <c r="A19" s="4"/>
      <c r="B19" s="4"/>
      <c r="C19" s="4"/>
      <c r="D19" s="12"/>
      <c r="E19" s="4"/>
      <c r="F19" s="4"/>
      <c r="G19" s="4"/>
      <c r="H19" s="4"/>
      <c r="I19" s="4">
        <f t="shared" si="0"/>
        <v>0</v>
      </c>
      <c r="J19" s="4">
        <f t="shared" si="1"/>
        <v>0</v>
      </c>
      <c r="K19" s="7">
        <f t="shared" si="2"/>
        <v>0.223</v>
      </c>
      <c r="L19" s="4"/>
      <c r="M19" s="12">
        <f t="shared" si="3"/>
        <v>0</v>
      </c>
    </row>
    <row r="20" spans="1:13">
      <c r="A20" s="4"/>
      <c r="B20" s="4"/>
      <c r="C20" s="4"/>
      <c r="D20" s="12"/>
      <c r="E20" s="4"/>
      <c r="F20" s="4"/>
      <c r="G20" s="4"/>
      <c r="H20" s="4"/>
      <c r="I20" s="4">
        <f t="shared" si="0"/>
        <v>0</v>
      </c>
      <c r="J20" s="4">
        <f t="shared" si="1"/>
        <v>0</v>
      </c>
      <c r="K20" s="7">
        <f t="shared" si="2"/>
        <v>0.223</v>
      </c>
      <c r="L20" s="4"/>
      <c r="M20" s="12">
        <f t="shared" si="3"/>
        <v>0</v>
      </c>
    </row>
  </sheetData>
  <dataValidations count="5">
    <dataValidation type="list" allowBlank="1" showInputMessage="1" showErrorMessage="1" sqref="C2:C20" xr:uid="{5E001FA0-DDB3-4CC6-986E-FD472A54CFAA}">
      <formula1>"Sim,Não"</formula1>
    </dataValidation>
    <dataValidation showInputMessage="1" showErrorMessage="1" sqref="D2:D20 I3:K20 H2:K2 O2" xr:uid="{A8DD4745-15CB-4698-9FD2-ACBE906F537F}"/>
    <dataValidation type="list" showInputMessage="1" showErrorMessage="1" sqref="F2:F20" xr:uid="{985177A4-E23B-4C89-9A73-F51FD5426923}">
      <formula1>"Nível 6 - Licenciado, Nível 7 - Mestre, Nível 8 - Doutorado"</formula1>
    </dataValidation>
    <dataValidation type="list" showInputMessage="1" showErrorMessage="1" sqref="G2:G20" xr:uid="{B1FB503C-64E5-4882-BCFD-C77BE4C120F6}">
      <formula1>"A contratar, Contrato de Trabalho a Termo Certo, Contrato de Trablho a Termo Incerto, Contrato de Trabalho a Tempo Indeterminado (Sem Termo), Bolseiro, Quadro de Cedência Ocasional [Docentes]"</formula1>
    </dataValidation>
    <dataValidation type="list" showInputMessage="1" showErrorMessage="1" sqref="L2:L20" xr:uid="{2A46D5DB-CA48-4BA6-8CBD-48DF2F03A7ED}">
      <formula1>"Sim, Não"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B5E0-8435-4C38-8FDD-1A33ED99734F}">
  <dimension ref="A1:AZ20"/>
  <sheetViews>
    <sheetView topLeftCell="I17" workbookViewId="0">
      <selection activeCell="I12" sqref="I12"/>
    </sheetView>
  </sheetViews>
  <sheetFormatPr defaultColWidth="8.88671875" defaultRowHeight="14.4"/>
  <cols>
    <col min="2" max="2" width="13.6640625" customWidth="1"/>
    <col min="3" max="3" width="7.6640625" customWidth="1"/>
    <col min="4" max="4" width="13.6640625" customWidth="1"/>
    <col min="5" max="6" width="40.6640625" customWidth="1"/>
    <col min="7" max="7" width="24" customWidth="1"/>
    <col min="8" max="8" width="54.6640625" bestFit="1" customWidth="1"/>
    <col min="9" max="9" width="17.33203125" customWidth="1"/>
    <col min="10" max="11" width="13" customWidth="1"/>
    <col min="12" max="12" width="11.44140625" customWidth="1"/>
    <col min="13" max="13" width="11.88671875" customWidth="1"/>
    <col min="14" max="14" width="9.109375" customWidth="1"/>
  </cols>
  <sheetData>
    <row r="1" spans="1:52" ht="41.25" customHeight="1">
      <c r="A1" s="5" t="s">
        <v>21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54</v>
      </c>
      <c r="G1" s="5" t="s">
        <v>26</v>
      </c>
      <c r="H1" s="5" t="s">
        <v>27</v>
      </c>
      <c r="I1" s="5" t="s">
        <v>28</v>
      </c>
      <c r="J1" s="5" t="s">
        <v>29</v>
      </c>
      <c r="K1" s="5" t="s">
        <v>30</v>
      </c>
      <c r="L1" s="5" t="s">
        <v>31</v>
      </c>
      <c r="M1" s="6" t="s">
        <v>32</v>
      </c>
      <c r="N1" s="9" t="s">
        <v>33</v>
      </c>
    </row>
    <row r="2" spans="1:52">
      <c r="A2" s="4"/>
      <c r="B2" s="4" t="s">
        <v>34</v>
      </c>
      <c r="C2" s="4" t="s">
        <v>35</v>
      </c>
      <c r="D2" s="17"/>
      <c r="E2" s="4" t="s">
        <v>55</v>
      </c>
      <c r="F2" s="4" t="s">
        <v>55</v>
      </c>
      <c r="G2" s="4" t="s">
        <v>40</v>
      </c>
      <c r="H2" s="4" t="s">
        <v>56</v>
      </c>
      <c r="I2" s="4">
        <v>2461.5</v>
      </c>
      <c r="J2" s="4">
        <f>IF(H2="Bolseiro",158.99,0)</f>
        <v>0</v>
      </c>
      <c r="K2" s="4">
        <f>IF(H2="Bolseiro",68.65,0)</f>
        <v>0</v>
      </c>
      <c r="L2" s="7">
        <f>IF(H2="Bolseiro",0,22.3%)</f>
        <v>0.223</v>
      </c>
      <c r="M2" s="4"/>
      <c r="N2" s="12">
        <f>IF(H2="Bolseiro",(I2+J2+K2)*12/11,I2*(1+L2)*14/11)</f>
        <v>3831.4366363636368</v>
      </c>
    </row>
    <row r="3" spans="1:52">
      <c r="A3" s="4"/>
      <c r="B3" s="4" t="s">
        <v>34</v>
      </c>
      <c r="C3" s="4" t="s">
        <v>35</v>
      </c>
      <c r="D3" s="17"/>
      <c r="E3" s="4" t="s">
        <v>57</v>
      </c>
      <c r="F3" s="4" t="s">
        <v>57</v>
      </c>
      <c r="G3" s="4" t="s">
        <v>40</v>
      </c>
      <c r="H3" s="4" t="s">
        <v>56</v>
      </c>
      <c r="I3" s="4">
        <v>2461.5</v>
      </c>
      <c r="J3" s="4">
        <f t="shared" ref="J3:J20" si="0">IF(H3="Bolseiro",158.99,0)</f>
        <v>0</v>
      </c>
      <c r="K3" s="4">
        <f t="shared" ref="K3:K20" si="1">IF(H3="Bolseiro",68.65,0)</f>
        <v>0</v>
      </c>
      <c r="L3" s="7">
        <f t="shared" ref="L3:L20" si="2">IF(H3="Bolseiro",0,22.3%)</f>
        <v>0.223</v>
      </c>
      <c r="M3" s="4"/>
      <c r="N3" s="12">
        <f t="shared" ref="N3:N20" si="3">IF(H3="Bolseiro",(I3+J3+K3)*12/11,I3*(1+L3)*14/11)</f>
        <v>3831.4366363636368</v>
      </c>
    </row>
    <row r="4" spans="1:52">
      <c r="A4" s="4"/>
      <c r="B4" s="4" t="s">
        <v>34</v>
      </c>
      <c r="C4" s="4" t="s">
        <v>48</v>
      </c>
      <c r="D4" s="17"/>
      <c r="E4" s="4" t="s">
        <v>58</v>
      </c>
      <c r="F4" s="4" t="s">
        <v>58</v>
      </c>
      <c r="G4" s="4" t="s">
        <v>37</v>
      </c>
      <c r="H4" s="4" t="s">
        <v>56</v>
      </c>
      <c r="I4" s="4">
        <v>1700</v>
      </c>
      <c r="J4" s="4">
        <f t="shared" si="0"/>
        <v>0</v>
      </c>
      <c r="K4" s="4">
        <f t="shared" si="1"/>
        <v>0</v>
      </c>
      <c r="L4" s="29">
        <f t="shared" si="2"/>
        <v>0.223</v>
      </c>
      <c r="M4" s="4"/>
      <c r="N4" s="4">
        <f t="shared" si="3"/>
        <v>2646.1272727272731</v>
      </c>
    </row>
    <row r="5" spans="1:52">
      <c r="A5" s="4"/>
      <c r="B5" s="4" t="s">
        <v>34</v>
      </c>
      <c r="C5" s="4" t="s">
        <v>35</v>
      </c>
      <c r="D5" s="17"/>
      <c r="E5" s="4" t="s">
        <v>59</v>
      </c>
      <c r="F5" s="4" t="s">
        <v>59</v>
      </c>
      <c r="G5" s="4" t="s">
        <v>40</v>
      </c>
      <c r="H5" s="4" t="s">
        <v>43</v>
      </c>
      <c r="I5" s="4">
        <v>4404.75</v>
      </c>
      <c r="J5" s="4">
        <f t="shared" si="0"/>
        <v>0</v>
      </c>
      <c r="K5" s="4">
        <f t="shared" si="1"/>
        <v>0</v>
      </c>
      <c r="L5" s="7">
        <f t="shared" si="2"/>
        <v>0.223</v>
      </c>
      <c r="M5" s="4" t="s">
        <v>48</v>
      </c>
      <c r="N5" s="12">
        <f t="shared" si="3"/>
        <v>6856.1935909090907</v>
      </c>
    </row>
    <row r="6" spans="1:52">
      <c r="A6" s="4"/>
      <c r="B6" s="4" t="s">
        <v>34</v>
      </c>
      <c r="C6" s="4" t="s">
        <v>35</v>
      </c>
      <c r="D6" s="17"/>
      <c r="E6" s="4" t="s">
        <v>60</v>
      </c>
      <c r="F6" s="4" t="s">
        <v>60</v>
      </c>
      <c r="G6" s="4" t="s">
        <v>40</v>
      </c>
      <c r="H6" s="4" t="s">
        <v>56</v>
      </c>
      <c r="I6" s="4">
        <v>2461.5</v>
      </c>
      <c r="J6" s="4">
        <f t="shared" si="0"/>
        <v>0</v>
      </c>
      <c r="K6" s="4">
        <f t="shared" si="1"/>
        <v>0</v>
      </c>
      <c r="L6" s="7">
        <f t="shared" si="2"/>
        <v>0.223</v>
      </c>
      <c r="M6" s="4"/>
      <c r="N6" s="12">
        <f t="shared" si="3"/>
        <v>3831.4366363636368</v>
      </c>
    </row>
    <row r="7" spans="1:52">
      <c r="A7" s="4"/>
      <c r="B7" s="4" t="s">
        <v>34</v>
      </c>
      <c r="C7" s="4" t="s">
        <v>35</v>
      </c>
      <c r="D7" s="17"/>
      <c r="E7" s="4" t="s">
        <v>61</v>
      </c>
      <c r="F7" s="4" t="s">
        <v>61</v>
      </c>
      <c r="G7" s="4" t="s">
        <v>62</v>
      </c>
      <c r="H7" s="4" t="s">
        <v>56</v>
      </c>
      <c r="I7" s="4">
        <v>1263.1600000000001</v>
      </c>
      <c r="J7" s="4">
        <f t="shared" si="0"/>
        <v>0</v>
      </c>
      <c r="K7" s="4">
        <f t="shared" si="1"/>
        <v>0</v>
      </c>
      <c r="L7" s="7">
        <f t="shared" si="2"/>
        <v>0.223</v>
      </c>
      <c r="M7" s="4"/>
      <c r="N7" s="12">
        <f t="shared" si="3"/>
        <v>1966.1659563636365</v>
      </c>
    </row>
    <row r="8" spans="1:52">
      <c r="A8" s="4"/>
      <c r="B8" s="4" t="s">
        <v>34</v>
      </c>
      <c r="C8" s="4" t="s">
        <v>35</v>
      </c>
      <c r="D8" s="17"/>
      <c r="E8" s="4" t="s">
        <v>63</v>
      </c>
      <c r="F8" s="4" t="s">
        <v>63</v>
      </c>
      <c r="G8" s="4" t="s">
        <v>62</v>
      </c>
      <c r="H8" s="4" t="s">
        <v>43</v>
      </c>
      <c r="I8" s="4">
        <v>1489.86</v>
      </c>
      <c r="J8" s="4">
        <f t="shared" si="0"/>
        <v>0</v>
      </c>
      <c r="K8" s="4">
        <f t="shared" si="1"/>
        <v>0</v>
      </c>
      <c r="L8" s="7">
        <f t="shared" si="2"/>
        <v>0.223</v>
      </c>
      <c r="M8" s="4"/>
      <c r="N8" s="12">
        <f t="shared" si="3"/>
        <v>2319.034810909091</v>
      </c>
    </row>
    <row r="9" spans="1:52" s="21" customFormat="1">
      <c r="A9" s="4"/>
      <c r="B9" s="4" t="s">
        <v>34</v>
      </c>
      <c r="C9" s="4" t="s">
        <v>35</v>
      </c>
      <c r="D9" s="17"/>
      <c r="E9" s="4" t="s">
        <v>64</v>
      </c>
      <c r="F9" s="4" t="s">
        <v>64</v>
      </c>
      <c r="G9" s="4" t="s">
        <v>40</v>
      </c>
      <c r="H9" s="4" t="s">
        <v>41</v>
      </c>
      <c r="I9" s="4">
        <v>4860.47</v>
      </c>
      <c r="J9" s="4">
        <f t="shared" si="0"/>
        <v>0</v>
      </c>
      <c r="K9" s="4">
        <f t="shared" si="1"/>
        <v>0</v>
      </c>
      <c r="L9" s="29">
        <f t="shared" si="2"/>
        <v>0.223</v>
      </c>
      <c r="M9" s="4"/>
      <c r="N9" s="4">
        <f t="shared" si="3"/>
        <v>7565.5424854545454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s="4"/>
      <c r="B10" s="4" t="s">
        <v>34</v>
      </c>
      <c r="C10" s="4" t="s">
        <v>48</v>
      </c>
      <c r="D10" s="17"/>
      <c r="E10" s="4" t="s">
        <v>65</v>
      </c>
      <c r="F10" s="4" t="s">
        <v>65</v>
      </c>
      <c r="G10" s="4" t="s">
        <v>62</v>
      </c>
      <c r="H10" s="4" t="s">
        <v>66</v>
      </c>
      <c r="I10" s="4">
        <v>1090.98</v>
      </c>
      <c r="J10" s="4">
        <f t="shared" si="0"/>
        <v>158.99</v>
      </c>
      <c r="K10" s="4">
        <f t="shared" si="1"/>
        <v>68.650000000000006</v>
      </c>
      <c r="L10" s="7">
        <f t="shared" si="2"/>
        <v>0</v>
      </c>
      <c r="M10" s="4"/>
      <c r="N10" s="12">
        <f t="shared" si="3"/>
        <v>1438.4945454545457</v>
      </c>
    </row>
    <row r="11" spans="1:52">
      <c r="A11" s="4"/>
      <c r="B11" s="4" t="s">
        <v>34</v>
      </c>
      <c r="C11" s="4" t="s">
        <v>35</v>
      </c>
      <c r="D11" s="4"/>
      <c r="E11" s="4" t="s">
        <v>175</v>
      </c>
      <c r="F11" s="4" t="s">
        <v>64</v>
      </c>
      <c r="G11" s="4" t="s">
        <v>40</v>
      </c>
      <c r="H11" s="4" t="s">
        <v>41</v>
      </c>
      <c r="I11" s="4">
        <v>4860.47</v>
      </c>
      <c r="J11" s="4"/>
      <c r="K11" s="4"/>
      <c r="L11" s="7">
        <f t="shared" si="2"/>
        <v>0.223</v>
      </c>
      <c r="M11" s="4"/>
      <c r="N11" s="12">
        <f t="shared" si="3"/>
        <v>7565.5424854545454</v>
      </c>
    </row>
    <row r="12" spans="1:52">
      <c r="A12" s="4"/>
      <c r="B12" s="4"/>
      <c r="C12" s="4"/>
      <c r="D12" s="4"/>
      <c r="E12" s="4"/>
      <c r="F12" s="4"/>
      <c r="G12" s="4"/>
      <c r="H12" s="4"/>
      <c r="I12" s="4"/>
      <c r="J12" s="4">
        <f t="shared" si="0"/>
        <v>0</v>
      </c>
      <c r="K12" s="4">
        <f t="shared" si="1"/>
        <v>0</v>
      </c>
      <c r="L12" s="7">
        <f t="shared" si="2"/>
        <v>0.223</v>
      </c>
      <c r="M12" s="4"/>
      <c r="N12" s="12">
        <f t="shared" si="3"/>
        <v>0</v>
      </c>
    </row>
    <row r="13" spans="1:52">
      <c r="A13" s="4"/>
      <c r="B13" s="4"/>
      <c r="C13" s="4"/>
      <c r="D13" s="4"/>
      <c r="E13" s="4"/>
      <c r="F13" s="4"/>
      <c r="G13" s="4"/>
      <c r="H13" s="4"/>
      <c r="I13" s="4"/>
      <c r="J13" s="4">
        <f t="shared" si="0"/>
        <v>0</v>
      </c>
      <c r="K13" s="4">
        <f t="shared" si="1"/>
        <v>0</v>
      </c>
      <c r="L13" s="7">
        <f t="shared" si="2"/>
        <v>0.223</v>
      </c>
      <c r="M13" s="4"/>
      <c r="N13" s="12">
        <f t="shared" si="3"/>
        <v>0</v>
      </c>
    </row>
    <row r="14" spans="1:52">
      <c r="A14" s="4"/>
      <c r="B14" s="4"/>
      <c r="C14" s="4"/>
      <c r="D14" s="4"/>
      <c r="E14" s="4"/>
      <c r="F14" s="4"/>
      <c r="G14" s="4"/>
      <c r="H14" s="4"/>
      <c r="I14" s="4"/>
      <c r="J14" s="4">
        <f t="shared" si="0"/>
        <v>0</v>
      </c>
      <c r="K14" s="4">
        <f t="shared" si="1"/>
        <v>0</v>
      </c>
      <c r="L14" s="7">
        <f t="shared" si="2"/>
        <v>0.223</v>
      </c>
      <c r="M14" s="4"/>
      <c r="N14" s="12">
        <f t="shared" si="3"/>
        <v>0</v>
      </c>
    </row>
    <row r="15" spans="1:52">
      <c r="A15" s="4"/>
      <c r="B15" s="4"/>
      <c r="C15" s="4"/>
      <c r="D15" s="4"/>
      <c r="E15" s="4"/>
      <c r="F15" s="4"/>
      <c r="G15" s="4"/>
      <c r="H15" s="4"/>
      <c r="I15" s="4"/>
      <c r="J15" s="4">
        <f t="shared" si="0"/>
        <v>0</v>
      </c>
      <c r="K15" s="4">
        <f t="shared" si="1"/>
        <v>0</v>
      </c>
      <c r="L15" s="7">
        <f t="shared" si="2"/>
        <v>0.223</v>
      </c>
      <c r="M15" s="4"/>
      <c r="N15" s="12">
        <f t="shared" si="3"/>
        <v>0</v>
      </c>
    </row>
    <row r="16" spans="1:52">
      <c r="A16" s="4"/>
      <c r="B16" s="4"/>
      <c r="C16" s="4"/>
      <c r="D16" s="4"/>
      <c r="E16" s="4"/>
      <c r="F16" s="4"/>
      <c r="G16" s="4"/>
      <c r="H16" s="4"/>
      <c r="I16" s="4"/>
      <c r="J16" s="4">
        <f t="shared" si="0"/>
        <v>0</v>
      </c>
      <c r="K16" s="4">
        <f t="shared" si="1"/>
        <v>0</v>
      </c>
      <c r="L16" s="7">
        <f t="shared" si="2"/>
        <v>0.223</v>
      </c>
      <c r="M16" s="4"/>
      <c r="N16" s="12">
        <f t="shared" si="3"/>
        <v>0</v>
      </c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>
        <f t="shared" si="0"/>
        <v>0</v>
      </c>
      <c r="K17" s="4">
        <f t="shared" si="1"/>
        <v>0</v>
      </c>
      <c r="L17" s="7">
        <f t="shared" si="2"/>
        <v>0.223</v>
      </c>
      <c r="M17" s="4"/>
      <c r="N17" s="12">
        <f t="shared" si="3"/>
        <v>0</v>
      </c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>
        <f t="shared" si="0"/>
        <v>0</v>
      </c>
      <c r="K18" s="4">
        <f t="shared" si="1"/>
        <v>0</v>
      </c>
      <c r="L18" s="7">
        <f t="shared" si="2"/>
        <v>0.223</v>
      </c>
      <c r="M18" s="4"/>
      <c r="N18" s="12">
        <f t="shared" si="3"/>
        <v>0</v>
      </c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>
        <f t="shared" si="0"/>
        <v>0</v>
      </c>
      <c r="K19" s="4">
        <f t="shared" si="1"/>
        <v>0</v>
      </c>
      <c r="L19" s="7">
        <f t="shared" si="2"/>
        <v>0.223</v>
      </c>
      <c r="M19" s="4"/>
      <c r="N19" s="12">
        <f t="shared" si="3"/>
        <v>0</v>
      </c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>
        <f t="shared" si="0"/>
        <v>0</v>
      </c>
      <c r="K20" s="4">
        <f t="shared" si="1"/>
        <v>0</v>
      </c>
      <c r="L20" s="7">
        <f t="shared" si="2"/>
        <v>0.223</v>
      </c>
      <c r="M20" s="4"/>
      <c r="N20" s="12">
        <f t="shared" si="3"/>
        <v>0</v>
      </c>
    </row>
  </sheetData>
  <dataValidations count="5">
    <dataValidation type="list" showInputMessage="1" showErrorMessage="1" sqref="M2:M20" xr:uid="{E5EEA839-0F99-49DE-8EEA-B06EEC0D19CF}">
      <formula1>"Sim, Não"</formula1>
    </dataValidation>
    <dataValidation type="list" showInputMessage="1" showErrorMessage="1" sqref="H2:H20" xr:uid="{9D5074AC-53BB-41EE-B90B-8923538D2327}">
      <formula1>"A contratar, Contrato de Trabalho a Termo Certo, Contrato de Trablho a Termo Incerto, Contrato de Trabalho a Tempo Indeterminado (Sem Termo), Bolseiro, Quadro de Cedência Ocasional [Docentes]"</formula1>
    </dataValidation>
    <dataValidation type="list" showInputMessage="1" showErrorMessage="1" sqref="G2:G20" xr:uid="{BB5EF161-7418-4ED0-A859-9C12541D64BA}">
      <formula1>"Nível 6 - Licenciado, Nível 7 - Mestre, Nível 8 - Doutorado"</formula1>
    </dataValidation>
    <dataValidation showInputMessage="1" showErrorMessage="1" sqref="I6 E2:F2 I2:L2 D2:D20 I3 I11 J3:L20" xr:uid="{D4A57320-DEAB-4220-9763-A597C6C6E161}"/>
    <dataValidation type="list" allowBlank="1" showInputMessage="1" showErrorMessage="1" sqref="C2:C20" xr:uid="{BB08E634-0C3E-4557-BDA3-266F533786DD}">
      <formula1>"Sim,Não"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ED3E-8C69-45AC-8A46-270B22114136}">
  <dimension ref="A1:O55"/>
  <sheetViews>
    <sheetView topLeftCell="C1" workbookViewId="0">
      <selection activeCell="I36" sqref="I36"/>
    </sheetView>
  </sheetViews>
  <sheetFormatPr defaultColWidth="8.88671875" defaultRowHeight="14.4"/>
  <cols>
    <col min="2" max="2" width="41.6640625" customWidth="1"/>
    <col min="3" max="4" width="25.109375" customWidth="1"/>
    <col min="5" max="5" width="36.44140625" bestFit="1" customWidth="1"/>
    <col min="6" max="6" width="49.33203125" bestFit="1" customWidth="1"/>
    <col min="7" max="10" width="9.88671875" customWidth="1"/>
    <col min="11" max="11" width="15.88671875" customWidth="1"/>
    <col min="12" max="14" width="12.88671875" bestFit="1" customWidth="1"/>
    <col min="15" max="15" width="9.109375" customWidth="1"/>
  </cols>
  <sheetData>
    <row r="1" spans="1:15" ht="22.8">
      <c r="A1" s="5" t="s">
        <v>67</v>
      </c>
      <c r="B1" s="5" t="s">
        <v>68</v>
      </c>
      <c r="C1" s="5" t="s">
        <v>69</v>
      </c>
      <c r="D1" s="5" t="s">
        <v>70</v>
      </c>
      <c r="E1" s="5" t="s">
        <v>54</v>
      </c>
      <c r="F1" s="5" t="s">
        <v>71</v>
      </c>
      <c r="G1" s="9" t="s">
        <v>72</v>
      </c>
      <c r="H1" s="9" t="s">
        <v>73</v>
      </c>
      <c r="I1" s="9" t="s">
        <v>74</v>
      </c>
      <c r="J1" s="9" t="s">
        <v>75</v>
      </c>
      <c r="K1" s="6" t="s">
        <v>76</v>
      </c>
      <c r="L1" s="9" t="s">
        <v>77</v>
      </c>
      <c r="M1" s="9" t="s">
        <v>78</v>
      </c>
      <c r="N1" s="9" t="s">
        <v>79</v>
      </c>
      <c r="O1" s="9" t="s">
        <v>80</v>
      </c>
    </row>
    <row r="2" spans="1:15">
      <c r="A2" s="4"/>
      <c r="B2" s="4" t="s">
        <v>39</v>
      </c>
      <c r="C2" s="4"/>
      <c r="D2" s="4" t="s">
        <v>81</v>
      </c>
      <c r="E2" s="4" t="s">
        <v>39</v>
      </c>
      <c r="F2" s="23" t="s">
        <v>82</v>
      </c>
      <c r="G2" s="4">
        <v>2</v>
      </c>
      <c r="H2" s="4"/>
      <c r="I2" s="4"/>
      <c r="J2" s="4"/>
      <c r="K2" s="8">
        <f>SUM(G2:J2)*L2</f>
        <v>23981.197723636367</v>
      </c>
      <c r="L2" s="8">
        <f>IFERROR(VLOOKUP($B2,Tecnicos_SYSTEM!$E$1:$M$20,9,0)*G2,)</f>
        <v>11990.598861818184</v>
      </c>
      <c r="M2" s="8">
        <f>IFERROR(VLOOKUP($B2,Tecnicos_SYSTEM!$E$1:$M$20,9,0)*H2,)</f>
        <v>0</v>
      </c>
      <c r="N2" s="8">
        <f>IFERROR(VLOOKUP($B2,Tecnicos_SYSTEM!$E$1:$M$20,9,0)*I2,)</f>
        <v>0</v>
      </c>
      <c r="O2" s="8">
        <f>IFERROR(VLOOKUP($B2,Tecnicos_SYSTEM!$E$1:$M$20,9,0)*J2,)</f>
        <v>0</v>
      </c>
    </row>
    <row r="3" spans="1:15">
      <c r="A3" s="4"/>
      <c r="B3" s="4" t="s">
        <v>46</v>
      </c>
      <c r="C3" s="4"/>
      <c r="D3" s="4" t="s">
        <v>81</v>
      </c>
      <c r="E3" s="4" t="s">
        <v>46</v>
      </c>
      <c r="F3" s="4" t="s">
        <v>83</v>
      </c>
      <c r="G3" s="4">
        <v>2</v>
      </c>
      <c r="H3" s="4"/>
      <c r="I3" s="4"/>
      <c r="J3" s="4"/>
      <c r="K3" s="8">
        <f t="shared" ref="K3:K19" si="0">SUM(G3:J3)*L3</f>
        <v>28563.418494545458</v>
      </c>
      <c r="L3" s="8">
        <f>IFERROR(VLOOKUP($B3,Tecnicos_SYSTEM!$E$1:$M$20,9,0)*G3,)</f>
        <v>14281.709247272729</v>
      </c>
      <c r="M3" s="8">
        <f>IFERROR(VLOOKUP($B3,Tecnicos_SYSTEM!$E$1:$M$20,9,0)*H3,)</f>
        <v>0</v>
      </c>
      <c r="N3" s="8">
        <f>IFERROR(VLOOKUP($B3,Tecnicos_SYSTEM!$E$1:$M$20,9,0)*I3,)</f>
        <v>0</v>
      </c>
      <c r="O3" s="8">
        <f>IFERROR(VLOOKUP($B3,Tecnicos_SYSTEM!$E$1:$M$20,9,0)*J3,)</f>
        <v>0</v>
      </c>
    </row>
    <row r="4" spans="1:15">
      <c r="A4" s="4"/>
      <c r="B4" s="4" t="s">
        <v>47</v>
      </c>
      <c r="C4" s="4"/>
      <c r="D4" s="4" t="s">
        <v>81</v>
      </c>
      <c r="E4" s="4" t="s">
        <v>47</v>
      </c>
      <c r="F4" s="4" t="s">
        <v>83</v>
      </c>
      <c r="G4" s="4">
        <v>2</v>
      </c>
      <c r="H4" s="4"/>
      <c r="I4" s="4"/>
      <c r="J4" s="4"/>
      <c r="K4" s="8">
        <f t="shared" si="0"/>
        <v>25122.643636363639</v>
      </c>
      <c r="L4" s="8">
        <f>IFERROR(VLOOKUP($B4,Tecnicos_SYSTEM!$E$1:$M$20,9,0)*G4,)</f>
        <v>12561.321818181819</v>
      </c>
      <c r="M4" s="8">
        <f>IFERROR(VLOOKUP($B4,Tecnicos_SYSTEM!$E$1:$M$20,9,0)*H4,)</f>
        <v>0</v>
      </c>
      <c r="N4" s="8">
        <f>IFERROR(VLOOKUP($B4,Tecnicos_SYSTEM!$E$1:$M$20,9,0)*I4,)</f>
        <v>0</v>
      </c>
      <c r="O4" s="8">
        <f>IFERROR(VLOOKUP($B4,Tecnicos_SYSTEM!$E$1:$M$20,9,0)*J4,)</f>
        <v>0</v>
      </c>
    </row>
    <row r="5" spans="1:15">
      <c r="A5" s="4"/>
      <c r="B5" s="4" t="s">
        <v>49</v>
      </c>
      <c r="C5" s="4"/>
      <c r="D5" s="4" t="s">
        <v>81</v>
      </c>
      <c r="E5" s="4" t="s">
        <v>49</v>
      </c>
      <c r="F5" s="4" t="s">
        <v>83</v>
      </c>
      <c r="G5" s="4">
        <v>1</v>
      </c>
      <c r="H5" s="4"/>
      <c r="I5" s="4"/>
      <c r="J5" s="4"/>
      <c r="K5" s="8">
        <f t="shared" si="0"/>
        <v>5567.0782109090906</v>
      </c>
      <c r="L5" s="8">
        <f>IFERROR(VLOOKUP($B5,Tecnicos_SYSTEM!$E$1:$M$20,9,0)*G5,)</f>
        <v>5567.0782109090906</v>
      </c>
      <c r="M5" s="8">
        <f>IFERROR(VLOOKUP($B5,Tecnicos_SYSTEM!$E$1:$M$20,9,0)*H5,)</f>
        <v>0</v>
      </c>
      <c r="N5" s="8">
        <f>IFERROR(VLOOKUP($B5,Tecnicos_SYSTEM!$E$1:$M$20,9,0)*I5,)</f>
        <v>0</v>
      </c>
      <c r="O5" s="8">
        <f>IFERROR(VLOOKUP($B5,Tecnicos_SYSTEM!$E$1:$M$20,9,0)*J5,)</f>
        <v>0</v>
      </c>
    </row>
    <row r="6" spans="1:15">
      <c r="A6" s="4"/>
      <c r="B6" s="4" t="s">
        <v>52</v>
      </c>
      <c r="C6" s="4"/>
      <c r="D6" s="4" t="s">
        <v>81</v>
      </c>
      <c r="E6" s="4" t="s">
        <v>52</v>
      </c>
      <c r="F6" s="4" t="s">
        <v>83</v>
      </c>
      <c r="G6" s="4">
        <v>2</v>
      </c>
      <c r="H6" s="4"/>
      <c r="I6" s="4"/>
      <c r="J6" s="4"/>
      <c r="K6" s="8">
        <f t="shared" si="0"/>
        <v>26265.148000000001</v>
      </c>
      <c r="L6" s="8">
        <f>IFERROR(VLOOKUP($B6,Tecnicos_SYSTEM!$E$1:$M$20,9,0)*G6,)</f>
        <v>13132.574000000001</v>
      </c>
      <c r="M6" s="8">
        <f>IFERROR(VLOOKUP($B6,Tecnicos_SYSTEM!$E$1:$M$20,9,0)*H6,)</f>
        <v>0</v>
      </c>
      <c r="N6" s="8">
        <f>IFERROR(VLOOKUP($B6,Tecnicos_SYSTEM!$E$1:$M$20,9,0)*I6,)</f>
        <v>0</v>
      </c>
      <c r="O6" s="8">
        <f>IFERROR(VLOOKUP($B6,Tecnicos_SYSTEM!$E$1:$M$20,9,0)*J6,)</f>
        <v>0</v>
      </c>
    </row>
    <row r="7" spans="1:15">
      <c r="A7" s="4"/>
      <c r="B7" s="4" t="s">
        <v>53</v>
      </c>
      <c r="C7" s="4"/>
      <c r="D7" s="4" t="s">
        <v>81</v>
      </c>
      <c r="E7" s="4" t="s">
        <v>53</v>
      </c>
      <c r="F7" s="4" t="s">
        <v>83</v>
      </c>
      <c r="G7" s="4">
        <v>1</v>
      </c>
      <c r="H7" s="4"/>
      <c r="I7" s="4"/>
      <c r="J7" s="4"/>
      <c r="K7" s="8">
        <f t="shared" si="0"/>
        <v>5567.0782109090906</v>
      </c>
      <c r="L7" s="8">
        <f>IFERROR(VLOOKUP($B7,Tecnicos_SYSTEM!$E$1:$M$20,9,0)*G7,)</f>
        <v>5567.0782109090906</v>
      </c>
      <c r="M7" s="8">
        <f>IFERROR(VLOOKUP($B7,Tecnicos_SYSTEM!$E$1:$M$20,9,0)*H7,)</f>
        <v>0</v>
      </c>
      <c r="N7" s="8">
        <f>IFERROR(VLOOKUP($B7,Tecnicos_SYSTEM!$E$1:$M$20,9,0)*I7,)</f>
        <v>0</v>
      </c>
      <c r="O7" s="8">
        <f>IFERROR(VLOOKUP($B7,Tecnicos_SYSTEM!$E$1:$M$20,9,0)*J7,)</f>
        <v>0</v>
      </c>
    </row>
    <row r="8" spans="1:15">
      <c r="A8" s="17"/>
      <c r="B8" s="17" t="s">
        <v>36</v>
      </c>
      <c r="C8" s="17"/>
      <c r="D8" s="17" t="s">
        <v>81</v>
      </c>
      <c r="E8" s="17" t="s">
        <v>36</v>
      </c>
      <c r="F8" s="17" t="s">
        <v>84</v>
      </c>
      <c r="G8" s="4">
        <v>4.5</v>
      </c>
      <c r="H8" s="4">
        <v>5.5</v>
      </c>
      <c r="I8" s="4">
        <v>4</v>
      </c>
      <c r="J8" s="4"/>
      <c r="K8" s="8">
        <f t="shared" si="0"/>
        <v>171764.0748981818</v>
      </c>
      <c r="L8" s="8">
        <f>IFERROR(VLOOKUP($B8,Tecnicos_SYSTEM!$E$1:$M$20,9,0)*G8,)</f>
        <v>12268.862492727272</v>
      </c>
      <c r="M8" s="8">
        <f>IFERROR(VLOOKUP($B8,Tecnicos_SYSTEM!$E$1:$M$20,9,0)*H8,)</f>
        <v>14995.276379999999</v>
      </c>
      <c r="N8" s="8">
        <f>IFERROR(VLOOKUP($B8,Tecnicos_SYSTEM!$E$1:$M$20,9,0)*I8,)</f>
        <v>10905.655549090909</v>
      </c>
      <c r="O8" s="8">
        <f>IFERROR(VLOOKUP($B8,Tecnicos_SYSTEM!$E$1:$M$20,9,0)*J8,)</f>
        <v>0</v>
      </c>
    </row>
    <row r="9" spans="1:15">
      <c r="A9" s="17"/>
      <c r="B9" s="17" t="s">
        <v>39</v>
      </c>
      <c r="C9" s="17"/>
      <c r="D9" s="17" t="s">
        <v>81</v>
      </c>
      <c r="E9" s="17" t="s">
        <v>39</v>
      </c>
      <c r="F9" s="17" t="s">
        <v>84</v>
      </c>
      <c r="G9" s="4">
        <v>2</v>
      </c>
      <c r="H9" s="4">
        <v>4</v>
      </c>
      <c r="I9" s="4">
        <v>2</v>
      </c>
      <c r="J9" s="4"/>
      <c r="K9" s="8">
        <f t="shared" si="0"/>
        <v>95924.790894545469</v>
      </c>
      <c r="L9" s="8">
        <f>IFERROR(VLOOKUP($B9,Tecnicos_SYSTEM!$E$1:$M$20,9,0)*G9,)</f>
        <v>11990.598861818184</v>
      </c>
      <c r="M9" s="8">
        <f>IFERROR(VLOOKUP($B9,Tecnicos_SYSTEM!$E$1:$M$20,9,0)*H9,)</f>
        <v>23981.197723636367</v>
      </c>
      <c r="N9" s="8">
        <f>IFERROR(VLOOKUP($B9,Tecnicos_SYSTEM!$E$1:$M$20,9,0)*I9,)</f>
        <v>11990.598861818184</v>
      </c>
      <c r="O9" s="8">
        <f>IFERROR(VLOOKUP($B9,Tecnicos_SYSTEM!$E$1:$M$20,9,0)*J9,)</f>
        <v>0</v>
      </c>
    </row>
    <row r="10" spans="1:15">
      <c r="A10" s="17"/>
      <c r="B10" s="17" t="s">
        <v>42</v>
      </c>
      <c r="C10" s="17"/>
      <c r="D10" s="17" t="s">
        <v>81</v>
      </c>
      <c r="E10" s="17" t="s">
        <v>42</v>
      </c>
      <c r="F10" s="17" t="s">
        <v>84</v>
      </c>
      <c r="G10" s="4">
        <v>6.5</v>
      </c>
      <c r="H10" s="4">
        <v>6.5</v>
      </c>
      <c r="I10" s="4">
        <v>4</v>
      </c>
      <c r="J10" s="4"/>
      <c r="K10" s="8">
        <f t="shared" si="0"/>
        <v>311660.8701818182</v>
      </c>
      <c r="L10" s="8">
        <f>IFERROR(VLOOKUP($B10,Tecnicos_SYSTEM!$E$1:$M$20,9,0)*G10,)</f>
        <v>18332.992363636364</v>
      </c>
      <c r="M10" s="8">
        <f>IFERROR(VLOOKUP($B10,Tecnicos_SYSTEM!$E$1:$M$20,9,0)*H10,)</f>
        <v>18332.992363636364</v>
      </c>
      <c r="N10" s="8">
        <f>IFERROR(VLOOKUP($B10,Tecnicos_SYSTEM!$E$1:$M$20,9,0)*I10,)</f>
        <v>11281.841454545454</v>
      </c>
      <c r="O10" s="8">
        <f>IFERROR(VLOOKUP($B10,Tecnicos_SYSTEM!$E$1:$M$20,9,0)*J10,)</f>
        <v>0</v>
      </c>
    </row>
    <row r="11" spans="1:15">
      <c r="A11" s="17"/>
      <c r="B11" s="17" t="s">
        <v>44</v>
      </c>
      <c r="C11" s="17"/>
      <c r="D11" s="17" t="s">
        <v>81</v>
      </c>
      <c r="E11" s="17" t="s">
        <v>44</v>
      </c>
      <c r="F11" s="17" t="s">
        <v>84</v>
      </c>
      <c r="G11" s="4">
        <v>6.5</v>
      </c>
      <c r="H11" s="4">
        <v>6.5</v>
      </c>
      <c r="I11" s="4">
        <v>4</v>
      </c>
      <c r="J11" s="4"/>
      <c r="K11" s="8">
        <f t="shared" si="0"/>
        <v>326120.76497000002</v>
      </c>
      <c r="L11" s="8">
        <f>IFERROR(VLOOKUP($B11,Tecnicos_SYSTEM!$E$1:$M$20,9,0)*G11,)</f>
        <v>19183.574410000001</v>
      </c>
      <c r="M11" s="8">
        <f>IFERROR(VLOOKUP($B11,Tecnicos_SYSTEM!$E$1:$M$20,9,0)*H11,)</f>
        <v>19183.574410000001</v>
      </c>
      <c r="N11" s="8">
        <f>IFERROR(VLOOKUP($B11,Tecnicos_SYSTEM!$E$1:$M$20,9,0)*I11,)</f>
        <v>11805.27656</v>
      </c>
      <c r="O11" s="8">
        <f>IFERROR(VLOOKUP($B11,Tecnicos_SYSTEM!$E$1:$M$20,9,0)*J11,)</f>
        <v>0</v>
      </c>
    </row>
    <row r="12" spans="1:15">
      <c r="A12" s="17"/>
      <c r="B12" s="17" t="s">
        <v>46</v>
      </c>
      <c r="C12" s="17"/>
      <c r="D12" s="17" t="s">
        <v>81</v>
      </c>
      <c r="E12" s="17" t="s">
        <v>46</v>
      </c>
      <c r="F12" s="17" t="s">
        <v>84</v>
      </c>
      <c r="G12" s="4">
        <v>3</v>
      </c>
      <c r="H12" s="4">
        <v>5</v>
      </c>
      <c r="I12" s="4">
        <v>2.5</v>
      </c>
      <c r="J12" s="4"/>
      <c r="K12" s="8">
        <f t="shared" si="0"/>
        <v>224936.92064454546</v>
      </c>
      <c r="L12" s="8">
        <f>IFERROR(VLOOKUP($B12,Tecnicos_SYSTEM!$E$1:$M$20,9,0)*G12,)</f>
        <v>21422.563870909093</v>
      </c>
      <c r="M12" s="8">
        <f>IFERROR(VLOOKUP($B12,Tecnicos_SYSTEM!$E$1:$M$20,9,0)*H12,)</f>
        <v>35704.273118181824</v>
      </c>
      <c r="N12" s="8">
        <f>IFERROR(VLOOKUP($B12,Tecnicos_SYSTEM!$E$1:$M$20,9,0)*I12,)</f>
        <v>17852.136559090912</v>
      </c>
      <c r="O12" s="8">
        <f>IFERROR(VLOOKUP($B12,Tecnicos_SYSTEM!$E$1:$M$20,9,0)*J12,)</f>
        <v>0</v>
      </c>
    </row>
    <row r="13" spans="1:15">
      <c r="A13" s="17"/>
      <c r="B13" s="17" t="s">
        <v>47</v>
      </c>
      <c r="C13" s="17"/>
      <c r="D13" s="17" t="s">
        <v>81</v>
      </c>
      <c r="E13" s="17" t="s">
        <v>47</v>
      </c>
      <c r="F13" s="17" t="s">
        <v>84</v>
      </c>
      <c r="G13" s="4">
        <v>1</v>
      </c>
      <c r="H13" s="4">
        <v>3</v>
      </c>
      <c r="I13" s="4">
        <v>1.5</v>
      </c>
      <c r="J13" s="4"/>
      <c r="K13" s="8">
        <f t="shared" si="0"/>
        <v>34543.635000000002</v>
      </c>
      <c r="L13" s="8">
        <f>IFERROR(VLOOKUP($B13,Tecnicos_SYSTEM!$E$1:$M$20,9,0)*G13,)</f>
        <v>6280.6609090909096</v>
      </c>
      <c r="M13" s="8">
        <f>IFERROR(VLOOKUP($B13,Tecnicos_SYSTEM!$E$1:$M$20,9,0)*H13,)</f>
        <v>18841.982727272727</v>
      </c>
      <c r="N13" s="8">
        <f>IFERROR(VLOOKUP($B13,Tecnicos_SYSTEM!$E$1:$M$20,9,0)*I13,)</f>
        <v>9420.9913636363635</v>
      </c>
      <c r="O13" s="8">
        <f>IFERROR(VLOOKUP($B13,Tecnicos_SYSTEM!$E$1:$M$20,9,0)*J13,)</f>
        <v>0</v>
      </c>
    </row>
    <row r="14" spans="1:15">
      <c r="A14" s="17"/>
      <c r="B14" s="17" t="s">
        <v>49</v>
      </c>
      <c r="C14" s="17"/>
      <c r="D14" s="17" t="s">
        <v>81</v>
      </c>
      <c r="E14" s="17" t="s">
        <v>49</v>
      </c>
      <c r="F14" s="17" t="s">
        <v>84</v>
      </c>
      <c r="G14" s="4">
        <v>1</v>
      </c>
      <c r="H14" s="4">
        <v>2</v>
      </c>
      <c r="I14" s="4">
        <v>1.5</v>
      </c>
      <c r="J14" s="4"/>
      <c r="K14" s="8">
        <f t="shared" si="0"/>
        <v>25051.851949090909</v>
      </c>
      <c r="L14" s="8">
        <f>IFERROR(VLOOKUP($B14,Tecnicos_SYSTEM!$E$1:$M$20,9,0)*G14,)</f>
        <v>5567.0782109090906</v>
      </c>
      <c r="M14" s="8">
        <f>IFERROR(VLOOKUP($B14,Tecnicos_SYSTEM!$E$1:$M$20,9,0)*H14,)</f>
        <v>11134.156421818181</v>
      </c>
      <c r="N14" s="8">
        <f>IFERROR(VLOOKUP($B14,Tecnicos_SYSTEM!$E$1:$M$20,9,0)*I14,)</f>
        <v>8350.6173163636358</v>
      </c>
      <c r="O14" s="8">
        <f>IFERROR(VLOOKUP($B14,Tecnicos_SYSTEM!$E$1:$M$20,9,0)*J14,)</f>
        <v>0</v>
      </c>
    </row>
    <row r="15" spans="1:15">
      <c r="A15" s="17"/>
      <c r="B15" s="17" t="s">
        <v>50</v>
      </c>
      <c r="C15" s="17"/>
      <c r="D15" s="17" t="s">
        <v>81</v>
      </c>
      <c r="E15" s="17" t="s">
        <v>50</v>
      </c>
      <c r="F15" s="17" t="s">
        <v>84</v>
      </c>
      <c r="G15" s="4">
        <v>5</v>
      </c>
      <c r="H15" s="4">
        <v>5</v>
      </c>
      <c r="I15" s="4">
        <v>2.5</v>
      </c>
      <c r="J15" s="4"/>
      <c r="K15" s="8">
        <f t="shared" si="0"/>
        <v>293903.99420454557</v>
      </c>
      <c r="L15" s="8">
        <f>IFERROR(VLOOKUP($B15,Tecnicos_SYSTEM!$E$1:$M$20,9,0)*G15,)</f>
        <v>23512.319536363644</v>
      </c>
      <c r="M15" s="8">
        <f>IFERROR(VLOOKUP($B15,Tecnicos_SYSTEM!$E$1:$M$20,9,0)*H15,)</f>
        <v>23512.319536363644</v>
      </c>
      <c r="N15" s="8">
        <f>IFERROR(VLOOKUP($B15,Tecnicos_SYSTEM!$E$1:$M$20,9,0)*I15,)</f>
        <v>11756.159768181822</v>
      </c>
      <c r="O15" s="8">
        <f>IFERROR(VLOOKUP($B15,Tecnicos_SYSTEM!$E$1:$M$20,9,0)*J15,)</f>
        <v>0</v>
      </c>
    </row>
    <row r="16" spans="1:15">
      <c r="A16" s="17"/>
      <c r="B16" s="17" t="s">
        <v>52</v>
      </c>
      <c r="C16" s="17"/>
      <c r="D16" s="17" t="s">
        <v>81</v>
      </c>
      <c r="E16" s="17" t="s">
        <v>52</v>
      </c>
      <c r="F16" s="17" t="s">
        <v>84</v>
      </c>
      <c r="G16" s="4">
        <v>2</v>
      </c>
      <c r="H16" s="4">
        <v>4</v>
      </c>
      <c r="I16" s="4">
        <v>2</v>
      </c>
      <c r="J16" s="4"/>
      <c r="K16" s="8">
        <f t="shared" si="0"/>
        <v>105060.592</v>
      </c>
      <c r="L16" s="8">
        <f>IFERROR(VLOOKUP($B16,Tecnicos_SYSTEM!$E$1:$M$20,9,0)*G16,)</f>
        <v>13132.574000000001</v>
      </c>
      <c r="M16" s="8">
        <f>IFERROR(VLOOKUP($B16,Tecnicos_SYSTEM!$E$1:$M$20,9,0)*H16,)</f>
        <v>26265.148000000001</v>
      </c>
      <c r="N16" s="8">
        <f>IFERROR(VLOOKUP($B16,Tecnicos_SYSTEM!$E$1:$M$20,9,0)*I16,)</f>
        <v>13132.574000000001</v>
      </c>
      <c r="O16" s="8">
        <f>IFERROR(VLOOKUP($B16,Tecnicos_SYSTEM!$E$1:$M$20,9,0)*J16,)</f>
        <v>0</v>
      </c>
    </row>
    <row r="17" spans="1:15">
      <c r="A17" s="17"/>
      <c r="B17" s="17" t="s">
        <v>53</v>
      </c>
      <c r="C17" s="17"/>
      <c r="D17" s="17" t="s">
        <v>81</v>
      </c>
      <c r="E17" s="17" t="s">
        <v>53</v>
      </c>
      <c r="F17" s="17" t="s">
        <v>84</v>
      </c>
      <c r="G17" s="4">
        <v>2</v>
      </c>
      <c r="H17" s="4">
        <v>3</v>
      </c>
      <c r="I17" s="4">
        <v>1.5</v>
      </c>
      <c r="J17" s="4"/>
      <c r="K17" s="8">
        <f t="shared" si="0"/>
        <v>72372.016741818181</v>
      </c>
      <c r="L17" s="8">
        <f>IFERROR(VLOOKUP($B17,Tecnicos_SYSTEM!$E$1:$M$20,9,0)*G17,)</f>
        <v>11134.156421818181</v>
      </c>
      <c r="M17" s="8">
        <f>IFERROR(VLOOKUP($B17,Tecnicos_SYSTEM!$E$1:$M$20,9,0)*H17,)</f>
        <v>16701.234632727272</v>
      </c>
      <c r="N17" s="8">
        <f>IFERROR(VLOOKUP($B17,Tecnicos_SYSTEM!$E$1:$M$20,9,0)*I17,)</f>
        <v>8350.6173163636358</v>
      </c>
      <c r="O17" s="8">
        <f>IFERROR(VLOOKUP($B17,Tecnicos_SYSTEM!$E$1:$M$20,9,0)*J17,)</f>
        <v>0</v>
      </c>
    </row>
    <row r="18" spans="1:15">
      <c r="A18" s="4"/>
      <c r="B18" s="4" t="s">
        <v>36</v>
      </c>
      <c r="C18" s="4"/>
      <c r="D18" s="4" t="s">
        <v>81</v>
      </c>
      <c r="E18" s="4" t="s">
        <v>36</v>
      </c>
      <c r="F18" s="4" t="s">
        <v>85</v>
      </c>
      <c r="G18" s="4">
        <v>3</v>
      </c>
      <c r="H18" s="4"/>
      <c r="I18" s="4"/>
      <c r="J18" s="4"/>
      <c r="K18" s="8">
        <f t="shared" si="0"/>
        <v>24537.724985454544</v>
      </c>
      <c r="L18" s="8">
        <f>IFERROR(VLOOKUP($B18,Tecnicos_SYSTEM!$E$1:$M$20,9,0)*G18,)</f>
        <v>8179.2416618181815</v>
      </c>
      <c r="M18" s="8">
        <f>IFERROR(VLOOKUP($B18,Tecnicos_SYSTEM!$E$1:$M$20,9,0)*H18,)</f>
        <v>0</v>
      </c>
      <c r="N18" s="8">
        <f>IFERROR(VLOOKUP($B18,Tecnicos_SYSTEM!$E$1:$M$20,9,0)*I18,)</f>
        <v>0</v>
      </c>
      <c r="O18" s="8">
        <f>IFERROR(VLOOKUP($B18,Tecnicos_SYSTEM!$E$1:$M$20,9,0)*J18,)</f>
        <v>0</v>
      </c>
    </row>
    <row r="19" spans="1:15">
      <c r="A19" s="4"/>
      <c r="B19" s="4" t="s">
        <v>42</v>
      </c>
      <c r="C19" s="4"/>
      <c r="D19" s="4" t="s">
        <v>81</v>
      </c>
      <c r="E19" s="4" t="s">
        <v>42</v>
      </c>
      <c r="F19" s="4" t="s">
        <v>85</v>
      </c>
      <c r="G19" s="4">
        <v>1</v>
      </c>
      <c r="H19" s="4"/>
      <c r="I19" s="4"/>
      <c r="J19" s="4"/>
      <c r="K19" s="8">
        <f t="shared" si="0"/>
        <v>2820.4603636363636</v>
      </c>
      <c r="L19" s="8">
        <f>IFERROR(VLOOKUP($B19,Tecnicos_SYSTEM!$E$1:$M$20,9,0)*G19,)</f>
        <v>2820.4603636363636</v>
      </c>
      <c r="M19" s="8">
        <f>IFERROR(VLOOKUP($B19,Tecnicos_SYSTEM!$E$1:$M$20,9,0)*H19,)</f>
        <v>0</v>
      </c>
      <c r="N19" s="8">
        <f>IFERROR(VLOOKUP($B19,Tecnicos_SYSTEM!$E$1:$M$20,9,0)*I19,)</f>
        <v>0</v>
      </c>
      <c r="O19" s="8">
        <f>IFERROR(VLOOKUP($B19,Tecnicos_SYSTEM!$E$1:$M$20,9,0)*J19,)</f>
        <v>0</v>
      </c>
    </row>
    <row r="20" spans="1:15">
      <c r="A20" s="4"/>
      <c r="B20" s="4" t="s">
        <v>44</v>
      </c>
      <c r="C20" s="4"/>
      <c r="D20" s="4" t="s">
        <v>81</v>
      </c>
      <c r="E20" s="4" t="s">
        <v>44</v>
      </c>
      <c r="F20" s="4" t="s">
        <v>85</v>
      </c>
      <c r="G20" s="4">
        <v>1</v>
      </c>
      <c r="H20" s="4"/>
      <c r="I20" s="4"/>
      <c r="J20" s="4"/>
      <c r="K20" s="8">
        <f t="shared" ref="K20:K54" si="1">SUM(G20:J20)*L20</f>
        <v>2951.3191400000001</v>
      </c>
      <c r="L20" s="8">
        <f>IFERROR(VLOOKUP($B20,Tecnicos_SYSTEM!$E$1:$M$20,9,0)*G20,)</f>
        <v>2951.3191400000001</v>
      </c>
      <c r="M20" s="8">
        <f>IFERROR(VLOOKUP($B20,Tecnicos_SYSTEM!$E$1:$M$20,9,0)*H20,)</f>
        <v>0</v>
      </c>
      <c r="N20" s="8">
        <f>IFERROR(VLOOKUP($B20,Tecnicos_SYSTEM!$E$1:$M$20,9,0)*I20,)</f>
        <v>0</v>
      </c>
      <c r="O20" s="8">
        <f>IFERROR(VLOOKUP($B20,Tecnicos_SYSTEM!$E$1:$M$20,9,0)*J20,)</f>
        <v>0</v>
      </c>
    </row>
    <row r="21" spans="1:15">
      <c r="A21" s="4"/>
      <c r="B21" s="4" t="s">
        <v>45</v>
      </c>
      <c r="C21" s="4"/>
      <c r="D21" s="4" t="s">
        <v>81</v>
      </c>
      <c r="E21" s="4" t="s">
        <v>45</v>
      </c>
      <c r="F21" s="4" t="s">
        <v>85</v>
      </c>
      <c r="G21" s="4">
        <v>3</v>
      </c>
      <c r="H21" s="4"/>
      <c r="I21" s="4"/>
      <c r="J21" s="4"/>
      <c r="K21" s="8">
        <f t="shared" si="1"/>
        <v>51363.805270909092</v>
      </c>
      <c r="L21" s="8">
        <f>IFERROR(VLOOKUP($B21,Tecnicos_SYSTEM!$E$1:$M$20,9,0)*G21,)</f>
        <v>17121.268423636364</v>
      </c>
      <c r="M21" s="8">
        <f>IFERROR(VLOOKUP($B21,Tecnicos_SYSTEM!$E$1:$M$20,9,0)*H21,)</f>
        <v>0</v>
      </c>
      <c r="N21" s="8">
        <f>IFERROR(VLOOKUP($B21,Tecnicos_SYSTEM!$E$1:$M$20,9,0)*I21,)</f>
        <v>0</v>
      </c>
      <c r="O21" s="8">
        <f>IFERROR(VLOOKUP($B21,Tecnicos_SYSTEM!$E$1:$M$20,9,0)*J21,)</f>
        <v>0</v>
      </c>
    </row>
    <row r="22" spans="1:15">
      <c r="A22" s="4"/>
      <c r="B22" s="4" t="s">
        <v>49</v>
      </c>
      <c r="C22" s="4"/>
      <c r="D22" s="4" t="s">
        <v>81</v>
      </c>
      <c r="E22" s="4" t="s">
        <v>49</v>
      </c>
      <c r="F22" s="4" t="s">
        <v>85</v>
      </c>
      <c r="G22" s="4">
        <v>1</v>
      </c>
      <c r="H22" s="4"/>
      <c r="I22" s="4"/>
      <c r="J22" s="4"/>
      <c r="K22" s="8">
        <f t="shared" si="1"/>
        <v>5567.0782109090906</v>
      </c>
      <c r="L22" s="8">
        <f>IFERROR(VLOOKUP($B22,Tecnicos_SYSTEM!$E$1:$M$20,9,0)*G22,)</f>
        <v>5567.0782109090906</v>
      </c>
      <c r="M22" s="8">
        <f>IFERROR(VLOOKUP($B22,Tecnicos_SYSTEM!$E$1:$M$20,9,0)*H22,)</f>
        <v>0</v>
      </c>
      <c r="N22" s="8">
        <f>IFERROR(VLOOKUP($B22,Tecnicos_SYSTEM!$E$1:$M$20,9,0)*I22,)</f>
        <v>0</v>
      </c>
      <c r="O22" s="8">
        <f>IFERROR(VLOOKUP($B22,Tecnicos_SYSTEM!$E$1:$M$20,9,0)*J22,)</f>
        <v>0</v>
      </c>
    </row>
    <row r="23" spans="1:15">
      <c r="A23" s="17"/>
      <c r="B23" s="17" t="s">
        <v>36</v>
      </c>
      <c r="C23" s="17"/>
      <c r="D23" s="17" t="s">
        <v>81</v>
      </c>
      <c r="E23" s="17" t="s">
        <v>36</v>
      </c>
      <c r="F23" s="17" t="s">
        <v>86</v>
      </c>
      <c r="G23" s="4"/>
      <c r="H23" s="4">
        <v>2</v>
      </c>
      <c r="I23" s="4">
        <v>3.5</v>
      </c>
      <c r="J23" s="4"/>
      <c r="K23" s="8">
        <f t="shared" si="1"/>
        <v>0</v>
      </c>
      <c r="L23" s="8">
        <f>IFERROR(VLOOKUP($B23,Tecnicos_SYSTEM!$E$1:$M$20,9,0)*G23,)</f>
        <v>0</v>
      </c>
      <c r="M23" s="8">
        <f>IFERROR(VLOOKUP($B23,Tecnicos_SYSTEM!$E$1:$M$20,9,0)*H23,)</f>
        <v>5452.8277745454543</v>
      </c>
      <c r="N23" s="8">
        <f>IFERROR(VLOOKUP($B23,Tecnicos_SYSTEM!$E$1:$M$20,9,0)*I23,)</f>
        <v>9542.448605454545</v>
      </c>
      <c r="O23" s="8">
        <f>IFERROR(VLOOKUP($B23,Tecnicos_SYSTEM!$E$1:$M$20,9,0)*J23,)</f>
        <v>0</v>
      </c>
    </row>
    <row r="24" spans="1:15">
      <c r="A24" s="17"/>
      <c r="B24" s="17" t="s">
        <v>39</v>
      </c>
      <c r="C24" s="17"/>
      <c r="D24" s="17" t="s">
        <v>81</v>
      </c>
      <c r="E24" s="17" t="s">
        <v>39</v>
      </c>
      <c r="F24" s="17" t="s">
        <v>86</v>
      </c>
      <c r="G24" s="4"/>
      <c r="H24" s="4"/>
      <c r="I24" s="4">
        <v>2</v>
      </c>
      <c r="J24" s="4"/>
      <c r="K24" s="8">
        <f t="shared" si="1"/>
        <v>0</v>
      </c>
      <c r="L24" s="8">
        <f>IFERROR(VLOOKUP($B24,Tecnicos_SYSTEM!$E$1:$M$20,9,0)*G24,)</f>
        <v>0</v>
      </c>
      <c r="M24" s="8">
        <f>IFERROR(VLOOKUP($B24,Tecnicos_SYSTEM!$E$1:$M$20,9,0)*H24,)</f>
        <v>0</v>
      </c>
      <c r="N24" s="8">
        <f>IFERROR(VLOOKUP($B24,Tecnicos_SYSTEM!$E$1:$M$20,9,0)*I24,)</f>
        <v>11990.598861818184</v>
      </c>
      <c r="O24" s="8">
        <f>IFERROR(VLOOKUP($B24,Tecnicos_SYSTEM!$E$1:$M$20,9,0)*J24,)</f>
        <v>0</v>
      </c>
    </row>
    <row r="25" spans="1:15">
      <c r="A25" s="17"/>
      <c r="B25" s="17" t="s">
        <v>42</v>
      </c>
      <c r="C25" s="17"/>
      <c r="D25" s="17" t="s">
        <v>81</v>
      </c>
      <c r="E25" s="17" t="s">
        <v>42</v>
      </c>
      <c r="F25" s="17" t="s">
        <v>86</v>
      </c>
      <c r="G25" s="4"/>
      <c r="H25" s="4">
        <v>1</v>
      </c>
      <c r="I25" s="4">
        <v>3.5</v>
      </c>
      <c r="J25" s="4"/>
      <c r="K25" s="8">
        <f t="shared" si="1"/>
        <v>0</v>
      </c>
      <c r="L25" s="8">
        <f>IFERROR(VLOOKUP($B25,Tecnicos_SYSTEM!$E$1:$M$20,9,0)*G25,)</f>
        <v>0</v>
      </c>
      <c r="M25" s="8">
        <f>IFERROR(VLOOKUP($B25,Tecnicos_SYSTEM!$E$1:$M$20,9,0)*H25,)</f>
        <v>2820.4603636363636</v>
      </c>
      <c r="N25" s="8">
        <f>IFERROR(VLOOKUP($B25,Tecnicos_SYSTEM!$E$1:$M$20,9,0)*I25,)</f>
        <v>9871.6112727272721</v>
      </c>
      <c r="O25" s="8">
        <f>IFERROR(VLOOKUP($B25,Tecnicos_SYSTEM!$E$1:$M$20,9,0)*J25,)</f>
        <v>0</v>
      </c>
    </row>
    <row r="26" spans="1:15">
      <c r="A26" s="17"/>
      <c r="B26" s="17" t="s">
        <v>44</v>
      </c>
      <c r="C26" s="17"/>
      <c r="D26" s="17" t="s">
        <v>81</v>
      </c>
      <c r="E26" s="17" t="s">
        <v>44</v>
      </c>
      <c r="F26" s="17" t="s">
        <v>86</v>
      </c>
      <c r="G26" s="4"/>
      <c r="H26" s="4">
        <v>1</v>
      </c>
      <c r="I26" s="4">
        <v>3.5</v>
      </c>
      <c r="J26" s="4"/>
      <c r="K26" s="8">
        <f t="shared" si="1"/>
        <v>0</v>
      </c>
      <c r="L26" s="8">
        <f>IFERROR(VLOOKUP($B26,Tecnicos_SYSTEM!$E$1:$M$20,9,0)*G26,)</f>
        <v>0</v>
      </c>
      <c r="M26" s="8">
        <f>IFERROR(VLOOKUP($B26,Tecnicos_SYSTEM!$E$1:$M$20,9,0)*H26,)</f>
        <v>2951.3191400000001</v>
      </c>
      <c r="N26" s="8">
        <f>IFERROR(VLOOKUP($B26,Tecnicos_SYSTEM!$E$1:$M$20,9,0)*I26,)</f>
        <v>10329.61699</v>
      </c>
      <c r="O26" s="8">
        <f>IFERROR(VLOOKUP($B26,Tecnicos_SYSTEM!$E$1:$M$20,9,0)*J26,)</f>
        <v>0</v>
      </c>
    </row>
    <row r="27" spans="1:15">
      <c r="A27" s="17"/>
      <c r="B27" s="17" t="s">
        <v>45</v>
      </c>
      <c r="C27" s="17"/>
      <c r="D27" s="17" t="s">
        <v>81</v>
      </c>
      <c r="E27" s="17" t="s">
        <v>45</v>
      </c>
      <c r="F27" s="17" t="s">
        <v>86</v>
      </c>
      <c r="G27" s="4"/>
      <c r="H27" s="4">
        <v>3</v>
      </c>
      <c r="I27" s="4">
        <v>3</v>
      </c>
      <c r="J27" s="4"/>
      <c r="K27" s="8">
        <f t="shared" si="1"/>
        <v>0</v>
      </c>
      <c r="L27" s="8">
        <f>IFERROR(VLOOKUP($B27,Tecnicos_SYSTEM!$E$1:$M$20,9,0)*G27,)</f>
        <v>0</v>
      </c>
      <c r="M27" s="8">
        <f>IFERROR(VLOOKUP($B27,Tecnicos_SYSTEM!$E$1:$M$20,9,0)*H27,)</f>
        <v>17121.268423636364</v>
      </c>
      <c r="N27" s="8">
        <f>IFERROR(VLOOKUP($B27,Tecnicos_SYSTEM!$E$1:$M$20,9,0)*I27,)</f>
        <v>17121.268423636364</v>
      </c>
      <c r="O27" s="8">
        <f>IFERROR(VLOOKUP($B27,Tecnicos_SYSTEM!$E$1:$M$20,9,0)*J27,)</f>
        <v>0</v>
      </c>
    </row>
    <row r="28" spans="1:15">
      <c r="A28" s="17"/>
      <c r="B28" s="17" t="s">
        <v>46</v>
      </c>
      <c r="C28" s="17"/>
      <c r="D28" s="17" t="s">
        <v>81</v>
      </c>
      <c r="E28" s="17" t="s">
        <v>46</v>
      </c>
      <c r="F28" s="17" t="s">
        <v>86</v>
      </c>
      <c r="G28" s="4"/>
      <c r="H28" s="4"/>
      <c r="I28" s="4">
        <v>2.5</v>
      </c>
      <c r="J28" s="4"/>
      <c r="K28" s="8">
        <f t="shared" si="1"/>
        <v>0</v>
      </c>
      <c r="L28" s="8">
        <f>IFERROR(VLOOKUP($B28,Tecnicos_SYSTEM!$E$1:$M$20,9,0)*G28,)</f>
        <v>0</v>
      </c>
      <c r="M28" s="8">
        <f>IFERROR(VLOOKUP($B28,Tecnicos_SYSTEM!$E$1:$M$20,9,0)*H28,)</f>
        <v>0</v>
      </c>
      <c r="N28" s="8">
        <f>IFERROR(VLOOKUP($B28,Tecnicos_SYSTEM!$E$1:$M$20,9,0)*I28,)</f>
        <v>17852.136559090912</v>
      </c>
      <c r="O28" s="8">
        <f>IFERROR(VLOOKUP($B28,Tecnicos_SYSTEM!$E$1:$M$20,9,0)*J28,)</f>
        <v>0</v>
      </c>
    </row>
    <row r="29" spans="1:15">
      <c r="A29" s="17"/>
      <c r="B29" s="17" t="s">
        <v>47</v>
      </c>
      <c r="C29" s="17"/>
      <c r="D29" s="17" t="s">
        <v>81</v>
      </c>
      <c r="E29" s="17" t="s">
        <v>47</v>
      </c>
      <c r="F29" s="17" t="s">
        <v>86</v>
      </c>
      <c r="G29" s="4"/>
      <c r="H29" s="4"/>
      <c r="I29" s="4">
        <v>1.5</v>
      </c>
      <c r="J29" s="4"/>
      <c r="K29" s="8">
        <f t="shared" si="1"/>
        <v>0</v>
      </c>
      <c r="L29" s="8">
        <f>IFERROR(VLOOKUP($B29,Tecnicos_SYSTEM!$E$1:$M$20,9,0)*G29,)</f>
        <v>0</v>
      </c>
      <c r="M29" s="8">
        <f>IFERROR(VLOOKUP($B29,Tecnicos_SYSTEM!$E$1:$M$20,9,0)*H29,)</f>
        <v>0</v>
      </c>
      <c r="N29" s="8">
        <f>IFERROR(VLOOKUP($B29,Tecnicos_SYSTEM!$E$1:$M$20,9,0)*I29,)</f>
        <v>9420.9913636363635</v>
      </c>
      <c r="O29" s="8">
        <f>IFERROR(VLOOKUP($B29,Tecnicos_SYSTEM!$E$1:$M$20,9,0)*J29,)</f>
        <v>0</v>
      </c>
    </row>
    <row r="30" spans="1:15">
      <c r="A30" s="17"/>
      <c r="B30" s="17" t="s">
        <v>49</v>
      </c>
      <c r="C30" s="17"/>
      <c r="D30" s="17" t="s">
        <v>81</v>
      </c>
      <c r="E30" s="17" t="s">
        <v>49</v>
      </c>
      <c r="F30" s="17" t="s">
        <v>86</v>
      </c>
      <c r="G30" s="4"/>
      <c r="H30" s="4">
        <v>1</v>
      </c>
      <c r="I30" s="4">
        <v>1.5</v>
      </c>
      <c r="J30" s="4"/>
      <c r="K30" s="8">
        <f t="shared" si="1"/>
        <v>0</v>
      </c>
      <c r="L30" s="8">
        <f>IFERROR(VLOOKUP($B30,Tecnicos_SYSTEM!$E$1:$M$20,9,0)*G30,)</f>
        <v>0</v>
      </c>
      <c r="M30" s="8">
        <f>IFERROR(VLOOKUP($B30,Tecnicos_SYSTEM!$E$1:$M$20,9,0)*H30,)</f>
        <v>5567.0782109090906</v>
      </c>
      <c r="N30" s="8">
        <f>IFERROR(VLOOKUP($B30,Tecnicos_SYSTEM!$E$1:$M$20,9,0)*I30,)</f>
        <v>8350.6173163636358</v>
      </c>
      <c r="O30" s="8">
        <f>IFERROR(VLOOKUP($B30,Tecnicos_SYSTEM!$E$1:$M$20,9,0)*J30,)</f>
        <v>0</v>
      </c>
    </row>
    <row r="31" spans="1:15">
      <c r="A31" s="17"/>
      <c r="B31" s="17" t="s">
        <v>50</v>
      </c>
      <c r="C31" s="17"/>
      <c r="D31" s="17" t="s">
        <v>81</v>
      </c>
      <c r="E31" s="17" t="s">
        <v>50</v>
      </c>
      <c r="F31" s="17" t="s">
        <v>86</v>
      </c>
      <c r="G31" s="4"/>
      <c r="H31" s="4"/>
      <c r="I31" s="4">
        <v>2.5</v>
      </c>
      <c r="J31" s="4"/>
      <c r="K31" s="8">
        <f t="shared" si="1"/>
        <v>0</v>
      </c>
      <c r="L31" s="8">
        <f>IFERROR(VLOOKUP($B31,Tecnicos_SYSTEM!$E$1:$M$20,9,0)*G31,)</f>
        <v>0</v>
      </c>
      <c r="M31" s="8">
        <f>IFERROR(VLOOKUP($B31,Tecnicos_SYSTEM!$E$1:$M$20,9,0)*H31,)</f>
        <v>0</v>
      </c>
      <c r="N31" s="8">
        <f>IFERROR(VLOOKUP($B31,Tecnicos_SYSTEM!$E$1:$M$20,9,0)*I31,)</f>
        <v>11756.159768181822</v>
      </c>
      <c r="O31" s="8">
        <f>IFERROR(VLOOKUP($B31,Tecnicos_SYSTEM!$E$1:$M$20,9,0)*J31,)</f>
        <v>0</v>
      </c>
    </row>
    <row r="32" spans="1:15">
      <c r="A32" s="17"/>
      <c r="B32" s="17" t="s">
        <v>52</v>
      </c>
      <c r="C32" s="17"/>
      <c r="D32" s="17" t="s">
        <v>81</v>
      </c>
      <c r="E32" s="17" t="s">
        <v>52</v>
      </c>
      <c r="F32" s="17" t="s">
        <v>86</v>
      </c>
      <c r="G32" s="4"/>
      <c r="H32" s="4"/>
      <c r="I32" s="4">
        <v>2</v>
      </c>
      <c r="J32" s="4"/>
      <c r="K32" s="8">
        <f t="shared" si="1"/>
        <v>0</v>
      </c>
      <c r="L32" s="8">
        <f>IFERROR(VLOOKUP($B32,Tecnicos_SYSTEM!$E$1:$M$20,9,0)*G32,)</f>
        <v>0</v>
      </c>
      <c r="M32" s="8">
        <f>IFERROR(VLOOKUP($B32,Tecnicos_SYSTEM!$E$1:$M$20,9,0)*H32,)</f>
        <v>0</v>
      </c>
      <c r="N32" s="8">
        <f>IFERROR(VLOOKUP($B32,Tecnicos_SYSTEM!$E$1:$M$20,9,0)*I32,)</f>
        <v>13132.574000000001</v>
      </c>
      <c r="O32" s="8">
        <f>IFERROR(VLOOKUP($B32,Tecnicos_SYSTEM!$E$1:$M$20,9,0)*J32,)</f>
        <v>0</v>
      </c>
    </row>
    <row r="33" spans="1:15">
      <c r="A33" s="17"/>
      <c r="B33" s="17" t="s">
        <v>53</v>
      </c>
      <c r="C33" s="17"/>
      <c r="D33" s="17" t="s">
        <v>81</v>
      </c>
      <c r="E33" s="17" t="s">
        <v>53</v>
      </c>
      <c r="F33" s="17" t="s">
        <v>86</v>
      </c>
      <c r="G33" s="4"/>
      <c r="H33" s="4"/>
      <c r="I33" s="4">
        <v>1.5</v>
      </c>
      <c r="J33" s="4"/>
      <c r="K33" s="8">
        <f t="shared" si="1"/>
        <v>0</v>
      </c>
      <c r="L33" s="8">
        <f>IFERROR(VLOOKUP($B33,Tecnicos_SYSTEM!$E$1:$M$20,9,0)*G33,)</f>
        <v>0</v>
      </c>
      <c r="M33" s="8">
        <f>IFERROR(VLOOKUP($B33,Tecnicos_SYSTEM!$E$1:$M$20,9,0)*H33,)</f>
        <v>0</v>
      </c>
      <c r="N33" s="8">
        <f>IFERROR(VLOOKUP($B33,Tecnicos_SYSTEM!$E$1:$M$20,9,0)*I33,)</f>
        <v>8350.6173163636358</v>
      </c>
      <c r="O33" s="8">
        <f>IFERROR(VLOOKUP($B33,Tecnicos_SYSTEM!$E$1:$M$20,9,0)*J33,)</f>
        <v>0</v>
      </c>
    </row>
    <row r="34" spans="1:15">
      <c r="A34" s="4"/>
      <c r="B34" s="4" t="s">
        <v>46</v>
      </c>
      <c r="C34" s="4"/>
      <c r="D34" s="4" t="s">
        <v>81</v>
      </c>
      <c r="E34" s="4" t="s">
        <v>46</v>
      </c>
      <c r="F34" s="4" t="s">
        <v>87</v>
      </c>
      <c r="G34" s="4"/>
      <c r="H34" s="4"/>
      <c r="I34" s="4"/>
      <c r="J34" s="4"/>
      <c r="K34" s="8">
        <f t="shared" si="1"/>
        <v>0</v>
      </c>
      <c r="L34" s="8">
        <f>IFERROR(VLOOKUP($B34,Tecnicos_SYSTEM!$E$1:$M$20,9,0)*G34,)</f>
        <v>0</v>
      </c>
      <c r="M34" s="8">
        <f>IFERROR(VLOOKUP($B34,Tecnicos_SYSTEM!$E$1:$M$20,9,0)*H34,)</f>
        <v>0</v>
      </c>
      <c r="N34" s="8">
        <f>IFERROR(VLOOKUP($B34,Tecnicos_SYSTEM!$E$1:$M$20,9,0)*I34,)</f>
        <v>0</v>
      </c>
      <c r="O34" s="8">
        <f>IFERROR(VLOOKUP($B34,Tecnicos_SYSTEM!$E$1:$M$20,9,0)*J34,)</f>
        <v>0</v>
      </c>
    </row>
    <row r="35" spans="1:15">
      <c r="A35" s="4"/>
      <c r="B35" s="4" t="s">
        <v>47</v>
      </c>
      <c r="C35" s="4"/>
      <c r="D35" s="4" t="s">
        <v>81</v>
      </c>
      <c r="E35" s="4" t="s">
        <v>47</v>
      </c>
      <c r="F35" s="4" t="s">
        <v>87</v>
      </c>
      <c r="G35" s="4"/>
      <c r="H35" s="4"/>
      <c r="I35" s="4"/>
      <c r="J35" s="4"/>
      <c r="K35" s="8">
        <f t="shared" si="1"/>
        <v>0</v>
      </c>
      <c r="L35" s="8">
        <f>IFERROR(VLOOKUP($B35,Tecnicos_SYSTEM!$E$1:$M$20,9,0)*G35,)</f>
        <v>0</v>
      </c>
      <c r="M35" s="8">
        <f>IFERROR(VLOOKUP($B35,Tecnicos_SYSTEM!$E$1:$M$20,9,0)*H35,)</f>
        <v>0</v>
      </c>
      <c r="N35" s="8">
        <f>IFERROR(VLOOKUP($B35,Tecnicos_SYSTEM!$E$1:$M$20,9,0)*I35,)</f>
        <v>0</v>
      </c>
      <c r="O35" s="8">
        <f>IFERROR(VLOOKUP($B35,Tecnicos_SYSTEM!$E$1:$M$20,9,0)*J35,)</f>
        <v>0</v>
      </c>
    </row>
    <row r="36" spans="1:15">
      <c r="A36" s="4"/>
      <c r="B36" s="4" t="s">
        <v>50</v>
      </c>
      <c r="C36" s="4"/>
      <c r="D36" s="4" t="s">
        <v>81</v>
      </c>
      <c r="E36" s="4" t="s">
        <v>50</v>
      </c>
      <c r="F36" s="4" t="s">
        <v>87</v>
      </c>
      <c r="G36" s="4"/>
      <c r="H36" s="4"/>
      <c r="I36" s="4"/>
      <c r="J36" s="4"/>
      <c r="K36" s="8">
        <f t="shared" si="1"/>
        <v>0</v>
      </c>
      <c r="L36" s="8">
        <f>IFERROR(VLOOKUP($B36,Tecnicos_SYSTEM!$E$1:$M$20,9,0)*G36,)</f>
        <v>0</v>
      </c>
      <c r="M36" s="8">
        <f>IFERROR(VLOOKUP($B36,Tecnicos_SYSTEM!$E$1:$M$20,9,0)*H36,)</f>
        <v>0</v>
      </c>
      <c r="N36" s="8">
        <f>IFERROR(VLOOKUP($B36,Tecnicos_SYSTEM!$E$1:$M$20,9,0)*I36,)</f>
        <v>0</v>
      </c>
      <c r="O36" s="8">
        <f>IFERROR(VLOOKUP($B36,Tecnicos_SYSTEM!$E$1:$M$20,9,0)*J36,)</f>
        <v>0</v>
      </c>
    </row>
    <row r="37" spans="1:15">
      <c r="A37" s="4"/>
      <c r="B37" s="4" t="s">
        <v>53</v>
      </c>
      <c r="C37" s="4"/>
      <c r="D37" s="4" t="s">
        <v>81</v>
      </c>
      <c r="E37" s="4" t="s">
        <v>53</v>
      </c>
      <c r="F37" s="4" t="s">
        <v>87</v>
      </c>
      <c r="G37" s="4"/>
      <c r="H37" s="4"/>
      <c r="I37" s="4"/>
      <c r="J37" s="4"/>
      <c r="K37" s="8">
        <f t="shared" si="1"/>
        <v>0</v>
      </c>
      <c r="L37" s="8">
        <f>IFERROR(VLOOKUP($B37,Tecnicos_SYSTEM!$E$1:$M$20,9,0)*G37,)</f>
        <v>0</v>
      </c>
      <c r="M37" s="8">
        <f>IFERROR(VLOOKUP($B37,Tecnicos_SYSTEM!$E$1:$M$20,9,0)*H37,)</f>
        <v>0</v>
      </c>
      <c r="N37" s="8">
        <f>IFERROR(VLOOKUP($B37,Tecnicos_SYSTEM!$E$1:$M$20,9,0)*I37,)</f>
        <v>0</v>
      </c>
      <c r="O37" s="8">
        <f>IFERROR(VLOOKUP($B37,Tecnicos_SYSTEM!$E$1:$M$20,9,0)*J37,)</f>
        <v>0</v>
      </c>
    </row>
    <row r="38" spans="1:15">
      <c r="A38" s="17"/>
      <c r="B38" s="17" t="s">
        <v>36</v>
      </c>
      <c r="C38" s="17"/>
      <c r="D38" s="17" t="s">
        <v>81</v>
      </c>
      <c r="E38" s="17" t="s">
        <v>36</v>
      </c>
      <c r="F38" s="17" t="s">
        <v>88</v>
      </c>
      <c r="G38" s="4"/>
      <c r="H38" s="4"/>
      <c r="I38" s="4"/>
      <c r="J38" s="4"/>
      <c r="K38" s="8">
        <f t="shared" si="1"/>
        <v>0</v>
      </c>
      <c r="L38" s="8">
        <f>IFERROR(VLOOKUP($B38,Tecnicos_SYSTEM!$E$1:$M$20,9,0)*G38,)</f>
        <v>0</v>
      </c>
      <c r="M38" s="8">
        <f>IFERROR(VLOOKUP($B38,Tecnicos_SYSTEM!$E$1:$M$20,9,0)*H38,)</f>
        <v>0</v>
      </c>
      <c r="N38" s="8">
        <f>IFERROR(VLOOKUP($B38,Tecnicos_SYSTEM!$E$1:$M$20,9,0)*I38,)</f>
        <v>0</v>
      </c>
      <c r="O38" s="8">
        <f>IFERROR(VLOOKUP($B38,Tecnicos_SYSTEM!$E$1:$M$20,9,0)*J38,)</f>
        <v>0</v>
      </c>
    </row>
    <row r="39" spans="1:15">
      <c r="A39" s="17"/>
      <c r="B39" s="17" t="s">
        <v>39</v>
      </c>
      <c r="C39" s="17"/>
      <c r="D39" s="17" t="s">
        <v>81</v>
      </c>
      <c r="E39" s="17" t="s">
        <v>39</v>
      </c>
      <c r="F39" s="17" t="s">
        <v>88</v>
      </c>
      <c r="G39" s="4"/>
      <c r="H39" s="4"/>
      <c r="I39" s="4"/>
      <c r="J39" s="4"/>
      <c r="K39" s="8">
        <f t="shared" si="1"/>
        <v>0</v>
      </c>
      <c r="L39" s="8">
        <f>IFERROR(VLOOKUP($B39,Tecnicos_SYSTEM!$E$1:$M$20,9,0)*G39,)</f>
        <v>0</v>
      </c>
      <c r="M39" s="8">
        <f>IFERROR(VLOOKUP($B39,Tecnicos_SYSTEM!$E$1:$M$20,9,0)*H39,)</f>
        <v>0</v>
      </c>
      <c r="N39" s="8">
        <f>IFERROR(VLOOKUP($B39,Tecnicos_SYSTEM!$E$1:$M$20,9,0)*I39,)</f>
        <v>0</v>
      </c>
      <c r="O39" s="8">
        <f>IFERROR(VLOOKUP($B39,Tecnicos_SYSTEM!$E$1:$M$20,9,0)*J39,)</f>
        <v>0</v>
      </c>
    </row>
    <row r="40" spans="1:15">
      <c r="A40" s="17"/>
      <c r="B40" s="17" t="s">
        <v>42</v>
      </c>
      <c r="C40" s="17"/>
      <c r="D40" s="17" t="s">
        <v>81</v>
      </c>
      <c r="E40" s="17" t="s">
        <v>42</v>
      </c>
      <c r="F40" s="17" t="s">
        <v>88</v>
      </c>
      <c r="G40" s="4"/>
      <c r="H40" s="4"/>
      <c r="I40" s="4"/>
      <c r="J40" s="4"/>
      <c r="K40" s="8">
        <f t="shared" si="1"/>
        <v>0</v>
      </c>
      <c r="L40" s="8">
        <f>IFERROR(VLOOKUP($B40,Tecnicos_SYSTEM!$E$1:$M$20,9,0)*G40,)</f>
        <v>0</v>
      </c>
      <c r="M40" s="8">
        <f>IFERROR(VLOOKUP($B40,Tecnicos_SYSTEM!$E$1:$M$20,9,0)*H40,)</f>
        <v>0</v>
      </c>
      <c r="N40" s="8">
        <f>IFERROR(VLOOKUP($B40,Tecnicos_SYSTEM!$E$1:$M$20,9,0)*I40,)</f>
        <v>0</v>
      </c>
      <c r="O40" s="8">
        <f>IFERROR(VLOOKUP($B40,Tecnicos_SYSTEM!$E$1:$M$20,9,0)*J40,)</f>
        <v>0</v>
      </c>
    </row>
    <row r="41" spans="1:15">
      <c r="A41" s="17"/>
      <c r="B41" s="17" t="s">
        <v>44</v>
      </c>
      <c r="C41" s="17"/>
      <c r="D41" s="17" t="s">
        <v>81</v>
      </c>
      <c r="E41" s="17" t="s">
        <v>44</v>
      </c>
      <c r="F41" s="17" t="s">
        <v>88</v>
      </c>
      <c r="G41" s="4"/>
      <c r="H41" s="4"/>
      <c r="I41" s="4"/>
      <c r="J41" s="4"/>
      <c r="K41" s="8">
        <f t="shared" si="1"/>
        <v>0</v>
      </c>
      <c r="L41" s="8">
        <f>IFERROR(VLOOKUP($B41,Tecnicos_SYSTEM!$E$1:$M$20,9,0)*G41,)</f>
        <v>0</v>
      </c>
      <c r="M41" s="8">
        <f>IFERROR(VLOOKUP($B41,Tecnicos_SYSTEM!$E$1:$M$20,9,0)*H41,)</f>
        <v>0</v>
      </c>
      <c r="N41" s="8">
        <f>IFERROR(VLOOKUP($B41,Tecnicos_SYSTEM!$E$1:$M$20,9,0)*I41,)</f>
        <v>0</v>
      </c>
      <c r="O41" s="8">
        <f>IFERROR(VLOOKUP($B41,Tecnicos_SYSTEM!$E$1:$M$20,9,0)*J41,)</f>
        <v>0</v>
      </c>
    </row>
    <row r="42" spans="1:15">
      <c r="A42" s="17"/>
      <c r="B42" s="17" t="s">
        <v>46</v>
      </c>
      <c r="C42" s="17"/>
      <c r="D42" s="17" t="s">
        <v>81</v>
      </c>
      <c r="E42" s="17" t="s">
        <v>46</v>
      </c>
      <c r="F42" s="17" t="s">
        <v>88</v>
      </c>
      <c r="G42" s="4"/>
      <c r="H42" s="4"/>
      <c r="I42" s="4"/>
      <c r="J42" s="4"/>
      <c r="K42" s="8">
        <f t="shared" si="1"/>
        <v>0</v>
      </c>
      <c r="L42" s="8">
        <f>IFERROR(VLOOKUP($B42,Tecnicos_SYSTEM!$E$1:$M$20,9,0)*G42,)</f>
        <v>0</v>
      </c>
      <c r="M42" s="8">
        <f>IFERROR(VLOOKUP($B42,Tecnicos_SYSTEM!$E$1:$M$20,9,0)*H42,)</f>
        <v>0</v>
      </c>
      <c r="N42" s="8">
        <f>IFERROR(VLOOKUP($B42,Tecnicos_SYSTEM!$E$1:$M$20,9,0)*I42,)</f>
        <v>0</v>
      </c>
      <c r="O42" s="8">
        <f>IFERROR(VLOOKUP($B42,Tecnicos_SYSTEM!$E$1:$M$20,9,0)*J42,)</f>
        <v>0</v>
      </c>
    </row>
    <row r="43" spans="1:15">
      <c r="A43" s="17"/>
      <c r="B43" s="17" t="s">
        <v>47</v>
      </c>
      <c r="C43" s="17"/>
      <c r="D43" s="17" t="s">
        <v>81</v>
      </c>
      <c r="E43" s="17" t="s">
        <v>47</v>
      </c>
      <c r="F43" s="17" t="s">
        <v>88</v>
      </c>
      <c r="G43" s="4"/>
      <c r="H43" s="4"/>
      <c r="I43" s="4"/>
      <c r="J43" s="4"/>
      <c r="K43" s="8">
        <f t="shared" si="1"/>
        <v>0</v>
      </c>
      <c r="L43" s="8">
        <f>IFERROR(VLOOKUP($B43,Tecnicos_SYSTEM!$E$1:$M$20,9,0)*G43,)</f>
        <v>0</v>
      </c>
      <c r="M43" s="8">
        <f>IFERROR(VLOOKUP($B43,Tecnicos_SYSTEM!$E$1:$M$20,9,0)*H43,)</f>
        <v>0</v>
      </c>
      <c r="N43" s="8">
        <f>IFERROR(VLOOKUP($B43,Tecnicos_SYSTEM!$E$1:$M$20,9,0)*I43,)</f>
        <v>0</v>
      </c>
      <c r="O43" s="8">
        <f>IFERROR(VLOOKUP($B43,Tecnicos_SYSTEM!$E$1:$M$20,9,0)*J43,)</f>
        <v>0</v>
      </c>
    </row>
    <row r="44" spans="1:15">
      <c r="A44" s="17"/>
      <c r="B44" s="17" t="s">
        <v>49</v>
      </c>
      <c r="C44" s="17"/>
      <c r="D44" s="17" t="s">
        <v>81</v>
      </c>
      <c r="E44" s="17" t="s">
        <v>49</v>
      </c>
      <c r="F44" s="17" t="s">
        <v>88</v>
      </c>
      <c r="G44" s="4"/>
      <c r="H44" s="4"/>
      <c r="I44" s="4"/>
      <c r="J44" s="4"/>
      <c r="K44" s="8">
        <f t="shared" si="1"/>
        <v>0</v>
      </c>
      <c r="L44" s="8">
        <f>IFERROR(VLOOKUP($B44,Tecnicos_SYSTEM!$E$1:$M$20,9,0)*G44,)</f>
        <v>0</v>
      </c>
      <c r="M44" s="8">
        <f>IFERROR(VLOOKUP($B44,Tecnicos_SYSTEM!$E$1:$M$20,9,0)*H44,)</f>
        <v>0</v>
      </c>
      <c r="N44" s="8">
        <f>IFERROR(VLOOKUP($B44,Tecnicos_SYSTEM!$E$1:$M$20,9,0)*I44,)</f>
        <v>0</v>
      </c>
      <c r="O44" s="8">
        <f>IFERROR(VLOOKUP($B44,Tecnicos_SYSTEM!$E$1:$M$20,9,0)*J44,)</f>
        <v>0</v>
      </c>
    </row>
    <row r="45" spans="1:15">
      <c r="A45" s="17"/>
      <c r="B45" s="17" t="s">
        <v>45</v>
      </c>
      <c r="C45" s="17"/>
      <c r="D45" s="17" t="s">
        <v>81</v>
      </c>
      <c r="E45" s="17" t="s">
        <v>45</v>
      </c>
      <c r="F45" s="17" t="s">
        <v>88</v>
      </c>
      <c r="G45" s="4"/>
      <c r="H45" s="4"/>
      <c r="I45" s="4"/>
      <c r="J45" s="4"/>
      <c r="K45" s="8">
        <f t="shared" si="1"/>
        <v>0</v>
      </c>
      <c r="L45" s="8">
        <f>IFERROR(VLOOKUP($B45,Tecnicos_SYSTEM!$E$1:$M$20,9,0)*G45,)</f>
        <v>0</v>
      </c>
      <c r="M45" s="8">
        <f>IFERROR(VLOOKUP($B45,Tecnicos_SYSTEM!$E$1:$M$20,9,0)*H45,)</f>
        <v>0</v>
      </c>
      <c r="N45" s="8">
        <f>IFERROR(VLOOKUP($B45,Tecnicos_SYSTEM!$E$1:$M$20,9,0)*I45,)</f>
        <v>0</v>
      </c>
      <c r="O45" s="8">
        <f>IFERROR(VLOOKUP($B45,Tecnicos_SYSTEM!$E$1:$M$20,9,0)*J45,)</f>
        <v>0</v>
      </c>
    </row>
    <row r="46" spans="1:15">
      <c r="A46" s="17"/>
      <c r="B46" s="17" t="s">
        <v>50</v>
      </c>
      <c r="C46" s="17"/>
      <c r="D46" s="17" t="s">
        <v>81</v>
      </c>
      <c r="E46" s="17" t="s">
        <v>50</v>
      </c>
      <c r="F46" s="17" t="s">
        <v>88</v>
      </c>
      <c r="G46" s="4"/>
      <c r="H46" s="4"/>
      <c r="I46" s="4"/>
      <c r="J46" s="4"/>
      <c r="K46" s="8">
        <f t="shared" si="1"/>
        <v>0</v>
      </c>
      <c r="L46" s="8">
        <f>IFERROR(VLOOKUP($B46,Tecnicos_SYSTEM!$E$1:$M$20,9,0)*G46,)</f>
        <v>0</v>
      </c>
      <c r="M46" s="8">
        <f>IFERROR(VLOOKUP($B46,Tecnicos_SYSTEM!$E$1:$M$20,9,0)*H46,)</f>
        <v>0</v>
      </c>
      <c r="N46" s="8">
        <f>IFERROR(VLOOKUP($B46,Tecnicos_SYSTEM!$E$1:$M$20,9,0)*I46,)</f>
        <v>0</v>
      </c>
      <c r="O46" s="8">
        <f>IFERROR(VLOOKUP($B46,Tecnicos_SYSTEM!$E$1:$M$20,9,0)*J46,)</f>
        <v>0</v>
      </c>
    </row>
    <row r="47" spans="1:15">
      <c r="A47" s="17"/>
      <c r="B47" s="17" t="s">
        <v>52</v>
      </c>
      <c r="C47" s="17"/>
      <c r="D47" s="17" t="s">
        <v>81</v>
      </c>
      <c r="E47" s="17" t="s">
        <v>52</v>
      </c>
      <c r="F47" s="17" t="s">
        <v>88</v>
      </c>
      <c r="G47" s="4"/>
      <c r="H47" s="4"/>
      <c r="I47" s="4"/>
      <c r="J47" s="4"/>
      <c r="K47" s="8">
        <f t="shared" si="1"/>
        <v>0</v>
      </c>
      <c r="L47" s="8">
        <f>IFERROR(VLOOKUP($B47,Tecnicos_SYSTEM!$E$1:$M$20,9,0)*G47,)</f>
        <v>0</v>
      </c>
      <c r="M47" s="8">
        <f>IFERROR(VLOOKUP($B47,Tecnicos_SYSTEM!$E$1:$M$20,9,0)*H47,)</f>
        <v>0</v>
      </c>
      <c r="N47" s="8">
        <f>IFERROR(VLOOKUP($B47,Tecnicos_SYSTEM!$E$1:$M$20,9,0)*I47,)</f>
        <v>0</v>
      </c>
      <c r="O47" s="8">
        <f>IFERROR(VLOOKUP($B47,Tecnicos_SYSTEM!$E$1:$M$20,9,0)*J47,)</f>
        <v>0</v>
      </c>
    </row>
    <row r="48" spans="1:15">
      <c r="A48" s="17"/>
      <c r="B48" s="17" t="s">
        <v>53</v>
      </c>
      <c r="C48" s="17"/>
      <c r="D48" s="17" t="s">
        <v>81</v>
      </c>
      <c r="E48" s="17" t="s">
        <v>53</v>
      </c>
      <c r="F48" s="17" t="s">
        <v>88</v>
      </c>
      <c r="G48" s="4"/>
      <c r="H48" s="4"/>
      <c r="I48" s="4"/>
      <c r="J48" s="4"/>
      <c r="K48" s="8">
        <f t="shared" si="1"/>
        <v>0</v>
      </c>
      <c r="L48" s="8">
        <f>IFERROR(VLOOKUP($B48,Tecnicos_SYSTEM!$E$1:$M$20,9,0)*G48,)</f>
        <v>0</v>
      </c>
      <c r="M48" s="8">
        <f>IFERROR(VLOOKUP($B48,Tecnicos_SYSTEM!$E$1:$M$20,9,0)*H48,)</f>
        <v>0</v>
      </c>
      <c r="N48" s="8">
        <f>IFERROR(VLOOKUP($B48,Tecnicos_SYSTEM!$E$1:$M$20,9,0)*I48,)</f>
        <v>0</v>
      </c>
      <c r="O48" s="8">
        <f>IFERROR(VLOOKUP($B48,Tecnicos_SYSTEM!$E$1:$M$20,9,0)*J48,)</f>
        <v>0</v>
      </c>
    </row>
    <row r="49" spans="1:15">
      <c r="A49" s="4"/>
      <c r="B49" s="4" t="s">
        <v>45</v>
      </c>
      <c r="C49" s="4"/>
      <c r="D49" s="4" t="s">
        <v>81</v>
      </c>
      <c r="E49" s="4" t="s">
        <v>45</v>
      </c>
      <c r="F49" s="4" t="s">
        <v>89</v>
      </c>
      <c r="G49" s="4">
        <v>2</v>
      </c>
      <c r="H49" s="4">
        <v>2</v>
      </c>
      <c r="I49" s="4">
        <v>2</v>
      </c>
      <c r="J49" s="4"/>
      <c r="K49" s="8">
        <f t="shared" si="1"/>
        <v>68485.073694545456</v>
      </c>
      <c r="L49" s="8">
        <f>IFERROR(VLOOKUP($B49,Tecnicos_SYSTEM!$E$1:$M$20,9,0)*G49,)</f>
        <v>11414.17894909091</v>
      </c>
      <c r="M49" s="8">
        <f>IFERROR(VLOOKUP($B49,Tecnicos_SYSTEM!$E$1:$M$20,9,0)*H49,)</f>
        <v>11414.17894909091</v>
      </c>
      <c r="N49" s="8">
        <f>IFERROR(VLOOKUP($B49,Tecnicos_SYSTEM!$E$1:$M$20,9,0)*I49,)</f>
        <v>11414.17894909091</v>
      </c>
      <c r="O49" s="8">
        <f>IFERROR(VLOOKUP($B49,Tecnicos_SYSTEM!$E$1:$M$20,9,0)*J49,)</f>
        <v>0</v>
      </c>
    </row>
    <row r="50" spans="1:15">
      <c r="A50" s="4"/>
      <c r="B50" s="4" t="s">
        <v>39</v>
      </c>
      <c r="C50" s="4"/>
      <c r="D50" s="4" t="s">
        <v>81</v>
      </c>
      <c r="E50" s="4" t="s">
        <v>39</v>
      </c>
      <c r="F50" s="4" t="s">
        <v>89</v>
      </c>
      <c r="G50" s="4"/>
      <c r="H50" s="4"/>
      <c r="I50" s="4"/>
      <c r="J50" s="4"/>
      <c r="K50" s="8">
        <f t="shared" si="1"/>
        <v>0</v>
      </c>
      <c r="L50" s="8">
        <f>IFERROR(VLOOKUP($B50,Tecnicos_SYSTEM!$E$1:$M$20,9,0)*G50,)</f>
        <v>0</v>
      </c>
      <c r="M50" s="8">
        <f>IFERROR(VLOOKUP($B50,Tecnicos_SYSTEM!$E$1:$M$20,9,0)*H50,)</f>
        <v>0</v>
      </c>
      <c r="N50" s="8">
        <f>IFERROR(VLOOKUP($B50,Tecnicos_SYSTEM!$E$1:$M$20,9,0)*I50,)</f>
        <v>0</v>
      </c>
      <c r="O50" s="8">
        <f>IFERROR(VLOOKUP($B50,Tecnicos_SYSTEM!$E$1:$M$20,9,0)*J50,)</f>
        <v>0</v>
      </c>
    </row>
    <row r="51" spans="1:15">
      <c r="A51" s="4"/>
      <c r="B51" s="4" t="s">
        <v>49</v>
      </c>
      <c r="C51" s="4"/>
      <c r="D51" s="4" t="s">
        <v>81</v>
      </c>
      <c r="E51" s="4" t="s">
        <v>49</v>
      </c>
      <c r="F51" s="4" t="s">
        <v>89</v>
      </c>
      <c r="G51" s="4"/>
      <c r="H51" s="4"/>
      <c r="I51" s="4"/>
      <c r="J51" s="4"/>
      <c r="K51" s="8">
        <f t="shared" si="1"/>
        <v>0</v>
      </c>
      <c r="L51" s="8">
        <f>IFERROR(VLOOKUP($B51,Tecnicos_SYSTEM!$E$1:$M$20,9,0)*G51,)</f>
        <v>0</v>
      </c>
      <c r="M51" s="8">
        <f>IFERROR(VLOOKUP($B51,Tecnicos_SYSTEM!$E$1:$M$20,9,0)*H51,)</f>
        <v>0</v>
      </c>
      <c r="N51" s="8">
        <f>IFERROR(VLOOKUP($B51,Tecnicos_SYSTEM!$E$1:$M$20,9,0)*I51,)</f>
        <v>0</v>
      </c>
      <c r="O51" s="8">
        <f>IFERROR(VLOOKUP($B51,Tecnicos_SYSTEM!$E$1:$M$20,9,0)*J51,)</f>
        <v>0</v>
      </c>
    </row>
    <row r="52" spans="1:15">
      <c r="A52" s="4"/>
      <c r="B52" s="4" t="s">
        <v>52</v>
      </c>
      <c r="C52" s="4"/>
      <c r="D52" s="4" t="s">
        <v>81</v>
      </c>
      <c r="E52" s="4" t="s">
        <v>52</v>
      </c>
      <c r="F52" s="4" t="s">
        <v>89</v>
      </c>
      <c r="G52" s="4"/>
      <c r="H52" s="4"/>
      <c r="I52" s="4"/>
      <c r="J52" s="4"/>
      <c r="K52" s="8">
        <f t="shared" si="1"/>
        <v>0</v>
      </c>
      <c r="L52" s="8">
        <f>IFERROR(VLOOKUP($B52,Tecnicos_SYSTEM!$E$1:$M$20,9,0)*G52,)</f>
        <v>0</v>
      </c>
      <c r="M52" s="8">
        <f>IFERROR(VLOOKUP($B52,Tecnicos_SYSTEM!$E$1:$M$20,9,0)*H52,)</f>
        <v>0</v>
      </c>
      <c r="N52" s="8">
        <f>IFERROR(VLOOKUP($B52,Tecnicos_SYSTEM!$E$1:$M$20,9,0)*I52,)</f>
        <v>0</v>
      </c>
      <c r="O52" s="8">
        <f>IFERROR(VLOOKUP($B52,Tecnicos_SYSTEM!$E$1:$M$20,9,0)*J52,)</f>
        <v>0</v>
      </c>
    </row>
    <row r="53" spans="1:15">
      <c r="A53" s="4"/>
      <c r="B53" s="4" t="s">
        <v>46</v>
      </c>
      <c r="C53" s="4"/>
      <c r="D53" s="4" t="s">
        <v>81</v>
      </c>
      <c r="E53" s="4" t="s">
        <v>46</v>
      </c>
      <c r="F53" s="4" t="s">
        <v>89</v>
      </c>
      <c r="G53" s="4">
        <v>1</v>
      </c>
      <c r="H53" s="4">
        <v>1</v>
      </c>
      <c r="I53" s="4">
        <v>1</v>
      </c>
      <c r="J53" s="4"/>
      <c r="K53" s="8">
        <f t="shared" si="1"/>
        <v>21422.563870909093</v>
      </c>
      <c r="L53" s="8">
        <f>IFERROR(VLOOKUP($B53,Tecnicos_SYSTEM!$E$1:$M$20,9,0)*G53,)</f>
        <v>7140.8546236363645</v>
      </c>
      <c r="M53" s="8">
        <f>IFERROR(VLOOKUP($B53,Tecnicos_SYSTEM!$E$1:$M$20,9,0)*H53,)</f>
        <v>7140.8546236363645</v>
      </c>
      <c r="N53" s="8">
        <f>IFERROR(VLOOKUP($B53,Tecnicos_SYSTEM!$E$1:$M$20,9,0)*I53,)</f>
        <v>7140.8546236363645</v>
      </c>
      <c r="O53" s="8">
        <f>IFERROR(VLOOKUP($B53,Tecnicos_SYSTEM!$E$1:$M$20,9,0)*J53,)</f>
        <v>0</v>
      </c>
    </row>
    <row r="54" spans="1:15">
      <c r="A54" s="17"/>
      <c r="B54" s="17" t="s">
        <v>51</v>
      </c>
      <c r="C54" s="17"/>
      <c r="D54" s="17" t="s">
        <v>81</v>
      </c>
      <c r="E54" s="17" t="s">
        <v>51</v>
      </c>
      <c r="F54" s="17" t="s">
        <v>90</v>
      </c>
      <c r="G54" s="4">
        <v>3</v>
      </c>
      <c r="H54" s="4">
        <v>3</v>
      </c>
      <c r="I54" s="4">
        <v>3</v>
      </c>
      <c r="J54" s="4"/>
      <c r="K54" s="8">
        <f t="shared" si="1"/>
        <v>137327.79483818184</v>
      </c>
      <c r="L54" s="8">
        <f>IFERROR(VLOOKUP($B54,Tecnicos_SYSTEM!$E$1:$M$20,9,0)*G54,)</f>
        <v>15258.643870909093</v>
      </c>
      <c r="M54" s="8">
        <f>IFERROR(VLOOKUP($B54,Tecnicos_SYSTEM!$E$1:$M$20,9,0)*H54,)</f>
        <v>15258.643870909093</v>
      </c>
      <c r="N54" s="8">
        <f>IFERROR(VLOOKUP($B54,Tecnicos_SYSTEM!$E$1:$M$20,9,0)*I54,)</f>
        <v>15258.643870909093</v>
      </c>
      <c r="O54" s="8">
        <f>IFERROR(VLOOKUP($B54,Tecnicos_SYSTEM!$E$1:$M$20,9,0)*J54,)</f>
        <v>0</v>
      </c>
    </row>
    <row r="55" spans="1:15">
      <c r="K55" s="11" t="s">
        <v>91</v>
      </c>
      <c r="L55" s="44">
        <f>SUM(L2:L54)</f>
        <v>276378.78667000006</v>
      </c>
      <c r="M55" s="44">
        <f>SUM(M2:M54)</f>
        <v>276378.78667000012</v>
      </c>
      <c r="N55" s="44">
        <f t="shared" ref="N55:O55" si="2">SUM(N2:N54)</f>
        <v>276378.78667000006</v>
      </c>
      <c r="O55">
        <f t="shared" si="2"/>
        <v>0</v>
      </c>
    </row>
  </sheetData>
  <autoFilter ref="A1:O55" xr:uid="{3D42ED3E-8C69-45AC-8A46-270B22114136}"/>
  <phoneticPr fontId="4" type="noConversion"/>
  <dataValidations count="1">
    <dataValidation type="decimal" operator="lessThanOrEqual" allowBlank="1" showInputMessage="1" showErrorMessage="1" sqref="G2:J54" xr:uid="{02D1BF00-21F9-4A19-BE02-6D8DCF2D132B}">
      <formula1>11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6A3EE-937A-49F5-92A5-B635D1758922}">
  <dimension ref="A3:E15"/>
  <sheetViews>
    <sheetView workbookViewId="0">
      <selection activeCell="A11" sqref="A11:D11"/>
    </sheetView>
  </sheetViews>
  <sheetFormatPr defaultRowHeight="14.4"/>
  <cols>
    <col min="1" max="1" width="66.6640625" bestFit="1" customWidth="1"/>
    <col min="2" max="3" width="24" bestFit="1" customWidth="1"/>
    <col min="4" max="4" width="23" bestFit="1" customWidth="1"/>
    <col min="5" max="5" width="12" bestFit="1" customWidth="1"/>
  </cols>
  <sheetData>
    <row r="3" spans="1:5">
      <c r="A3" s="68" t="s">
        <v>176</v>
      </c>
      <c r="B3" t="s">
        <v>179</v>
      </c>
      <c r="C3" t="s">
        <v>180</v>
      </c>
      <c r="D3" t="s">
        <v>181</v>
      </c>
      <c r="E3" t="s">
        <v>182</v>
      </c>
    </row>
    <row r="4" spans="1:5">
      <c r="A4" s="69" t="s">
        <v>55</v>
      </c>
      <c r="B4">
        <v>4.5</v>
      </c>
      <c r="C4">
        <v>11</v>
      </c>
      <c r="D4">
        <v>6.5</v>
      </c>
    </row>
    <row r="5" spans="1:5">
      <c r="A5" s="69" t="s">
        <v>57</v>
      </c>
      <c r="B5">
        <v>0</v>
      </c>
      <c r="C5">
        <v>2</v>
      </c>
      <c r="D5">
        <v>2.5</v>
      </c>
    </row>
    <row r="6" spans="1:5">
      <c r="A6" s="69" t="s">
        <v>58</v>
      </c>
      <c r="B6">
        <v>11</v>
      </c>
      <c r="C6">
        <v>11</v>
      </c>
      <c r="D6">
        <v>11</v>
      </c>
    </row>
    <row r="7" spans="1:5">
      <c r="A7" s="69" t="s">
        <v>59</v>
      </c>
      <c r="B7">
        <v>2.5</v>
      </c>
      <c r="C7">
        <v>2.5</v>
      </c>
      <c r="D7">
        <v>2.5</v>
      </c>
    </row>
    <row r="8" spans="1:5">
      <c r="A8" s="69" t="s">
        <v>60</v>
      </c>
      <c r="B8">
        <v>2</v>
      </c>
      <c r="C8">
        <v>2.5</v>
      </c>
      <c r="D8">
        <v>1.5</v>
      </c>
    </row>
    <row r="9" spans="1:5">
      <c r="A9" s="69" t="s">
        <v>61</v>
      </c>
      <c r="B9">
        <v>0.5</v>
      </c>
      <c r="C9">
        <v>5</v>
      </c>
      <c r="D9">
        <v>4</v>
      </c>
    </row>
    <row r="10" spans="1:5">
      <c r="A10" s="69" t="s">
        <v>63</v>
      </c>
      <c r="B10">
        <v>3</v>
      </c>
      <c r="C10">
        <v>5</v>
      </c>
      <c r="D10">
        <v>4</v>
      </c>
    </row>
    <row r="11" spans="1:5">
      <c r="A11" s="69" t="s">
        <v>65</v>
      </c>
      <c r="B11">
        <v>8</v>
      </c>
      <c r="C11">
        <v>11</v>
      </c>
      <c r="D11">
        <v>3</v>
      </c>
    </row>
    <row r="12" spans="1:5">
      <c r="A12" s="69" t="s">
        <v>64</v>
      </c>
      <c r="D12">
        <v>5.5</v>
      </c>
    </row>
    <row r="13" spans="1:5">
      <c r="A13" s="69" t="s">
        <v>175</v>
      </c>
      <c r="B13">
        <v>4</v>
      </c>
      <c r="C13">
        <v>4</v>
      </c>
      <c r="D13">
        <v>4</v>
      </c>
    </row>
    <row r="14" spans="1:5">
      <c r="A14" s="69" t="s">
        <v>177</v>
      </c>
    </row>
    <row r="15" spans="1:5">
      <c r="A15" s="69" t="s">
        <v>178</v>
      </c>
      <c r="B15">
        <v>35.5</v>
      </c>
      <c r="C15">
        <v>54</v>
      </c>
      <c r="D15">
        <v>44.5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7AA4C-D069-474E-B200-3B6433537AC0}">
  <dimension ref="A1:AB90"/>
  <sheetViews>
    <sheetView topLeftCell="E67" zoomScale="85" zoomScaleNormal="85" workbookViewId="0">
      <selection activeCell="O87" sqref="A1:O87"/>
    </sheetView>
  </sheetViews>
  <sheetFormatPr defaultColWidth="8.88671875" defaultRowHeight="14.4"/>
  <cols>
    <col min="2" max="2" width="70.88671875" bestFit="1" customWidth="1"/>
    <col min="3" max="4" width="25.109375" customWidth="1"/>
    <col min="5" max="5" width="12.33203125" customWidth="1"/>
    <col min="6" max="6" width="48.6640625" bestFit="1" customWidth="1"/>
    <col min="7" max="10" width="9.88671875" customWidth="1"/>
    <col min="11" max="11" width="15.88671875" customWidth="1"/>
    <col min="12" max="14" width="13.6640625" bestFit="1" customWidth="1"/>
    <col min="15" max="15" width="9.109375" customWidth="1"/>
    <col min="16" max="16" width="17.6640625" customWidth="1"/>
  </cols>
  <sheetData>
    <row r="1" spans="1:28" ht="23.4" thickBot="1">
      <c r="A1" s="5" t="s">
        <v>67</v>
      </c>
      <c r="B1" s="5" t="s">
        <v>68</v>
      </c>
      <c r="C1" s="5" t="s">
        <v>69</v>
      </c>
      <c r="D1" s="5" t="s">
        <v>70</v>
      </c>
      <c r="E1" s="20" t="s">
        <v>54</v>
      </c>
      <c r="F1" s="5" t="s">
        <v>71</v>
      </c>
      <c r="G1" s="9" t="s">
        <v>72</v>
      </c>
      <c r="H1" s="9" t="s">
        <v>73</v>
      </c>
      <c r="I1" s="9" t="s">
        <v>74</v>
      </c>
      <c r="J1" s="9" t="s">
        <v>75</v>
      </c>
      <c r="K1" s="6" t="s">
        <v>76</v>
      </c>
      <c r="L1" s="9" t="s">
        <v>77</v>
      </c>
      <c r="M1" s="9" t="s">
        <v>78</v>
      </c>
      <c r="N1" s="9" t="s">
        <v>79</v>
      </c>
      <c r="O1" s="9" t="s">
        <v>80</v>
      </c>
      <c r="Q1" s="4"/>
      <c r="R1" s="4"/>
      <c r="S1" s="4">
        <v>2027</v>
      </c>
      <c r="T1" s="4">
        <v>2028</v>
      </c>
      <c r="U1" s="4">
        <v>2029</v>
      </c>
      <c r="V1" s="4" t="s">
        <v>92</v>
      </c>
      <c r="W1" s="4"/>
      <c r="X1" s="4">
        <v>2027</v>
      </c>
      <c r="Y1" s="4">
        <v>2028</v>
      </c>
      <c r="Z1" s="4">
        <v>2029</v>
      </c>
      <c r="AA1" s="4" t="s">
        <v>92</v>
      </c>
    </row>
    <row r="2" spans="1:28" ht="15" thickBot="1">
      <c r="A2" s="4"/>
      <c r="B2" s="4" t="s">
        <v>57</v>
      </c>
      <c r="C2" s="4"/>
      <c r="D2" s="4" t="s">
        <v>93</v>
      </c>
      <c r="E2" s="22"/>
      <c r="F2" s="23" t="s">
        <v>94</v>
      </c>
      <c r="G2" s="4">
        <v>0</v>
      </c>
      <c r="H2" s="4"/>
      <c r="I2" s="4"/>
      <c r="J2" s="4"/>
      <c r="K2" s="8">
        <f>SUM(L2:O2)</f>
        <v>0</v>
      </c>
      <c r="L2" s="8">
        <f>IFERROR(VLOOKUP($B2,Tecnicos_CAP!$E$1:$N$20,10,0)*G2,)</f>
        <v>0</v>
      </c>
      <c r="M2" s="8">
        <f>IFERROR(VLOOKUP($B2,Tecnicos_CAP!$E$1:$N$20,10,0)*H2,)</f>
        <v>0</v>
      </c>
      <c r="N2" s="8">
        <f>IFERROR(VLOOKUP($B2,Tecnicos_CAP!$E$1:$N$20,10,0)*I2,)</f>
        <v>0</v>
      </c>
      <c r="O2" s="8">
        <f>IFERROR(VLOOKUP($B2,Tecnicos_CAP!$E$1:$N$20,10,0)*J2,)</f>
        <v>0</v>
      </c>
      <c r="Q2" s="4">
        <f>SUM(G2:I2)</f>
        <v>0</v>
      </c>
      <c r="R2" s="4"/>
      <c r="S2" s="4">
        <f t="shared" ref="S2:S11" si="0">G2+G13+G24+G35+G46+G57+G68+G79</f>
        <v>0</v>
      </c>
      <c r="T2" s="4">
        <f t="shared" ref="T2:T11" si="1">H2+H13+H24+H35+H46+H57+H68+H79</f>
        <v>2</v>
      </c>
      <c r="U2" s="4">
        <f t="shared" ref="U2:U11" si="2">I2+I13+I24+I35+I46+I57+I68+I79</f>
        <v>2.5</v>
      </c>
      <c r="V2" s="4">
        <f t="shared" ref="V2:V10" si="3">S2+T2+U2</f>
        <v>4.5</v>
      </c>
      <c r="W2" s="4"/>
      <c r="X2" s="4">
        <f t="shared" ref="X2:X11" si="4">L2+L13+L24+L35+L46+L57+L68+L79</f>
        <v>0</v>
      </c>
      <c r="Y2" s="4">
        <f t="shared" ref="Y2:Y11" si="5">M2+M13+M24+M35+M46+M57+M68+M79</f>
        <v>7662.8732727272736</v>
      </c>
      <c r="Z2" s="4">
        <f t="shared" ref="Z2:Z11" si="6">N2+N13+N24+N35+N46+N57+N68+N79</f>
        <v>9578.5915909090927</v>
      </c>
      <c r="AA2" s="4">
        <f t="shared" ref="AA2:AA10" si="7">X2+Y2+Z2</f>
        <v>17241.464863636367</v>
      </c>
    </row>
    <row r="3" spans="1:28" ht="15" thickBot="1">
      <c r="A3" s="4"/>
      <c r="B3" s="4" t="s">
        <v>60</v>
      </c>
      <c r="C3" s="4"/>
      <c r="D3" s="4" t="s">
        <v>93</v>
      </c>
      <c r="E3" s="22"/>
      <c r="F3" s="23" t="s">
        <v>94</v>
      </c>
      <c r="G3" s="62"/>
      <c r="H3" s="4"/>
      <c r="I3" s="4"/>
      <c r="J3" s="4"/>
      <c r="K3" s="8">
        <f t="shared" ref="K3:K32" si="8">SUM(L3:O3)</f>
        <v>0</v>
      </c>
      <c r="L3" s="8">
        <f>IFERROR(VLOOKUP($B3,Tecnicos_CAP!$E$1:$N$20,10,0)*G3,)</f>
        <v>0</v>
      </c>
      <c r="M3" s="8">
        <f>IFERROR(VLOOKUP($B3,Tecnicos_CAP!$E$1:$N$20,10,0)*H3,)</f>
        <v>0</v>
      </c>
      <c r="N3" s="8">
        <f>IFERROR(VLOOKUP($B3,Tecnicos_CAP!$E$1:$N$20,10,0)*I3,)</f>
        <v>0</v>
      </c>
      <c r="O3" s="8">
        <f>IFERROR(VLOOKUP($B3,Tecnicos_CAP!$E$1:$N$20,10,0)*J3,)</f>
        <v>0</v>
      </c>
      <c r="Q3" s="4">
        <f>SUM(G3:I3)</f>
        <v>0</v>
      </c>
      <c r="R3" s="4"/>
      <c r="S3" s="4">
        <f t="shared" si="0"/>
        <v>2</v>
      </c>
      <c r="T3" s="4">
        <f t="shared" si="1"/>
        <v>2.5</v>
      </c>
      <c r="U3" s="4">
        <f t="shared" si="2"/>
        <v>1.5</v>
      </c>
      <c r="V3" s="4">
        <f t="shared" si="3"/>
        <v>6</v>
      </c>
      <c r="W3" s="4"/>
      <c r="X3" s="4">
        <f t="shared" si="4"/>
        <v>7662.8732727272736</v>
      </c>
      <c r="Y3" s="4">
        <f t="shared" si="5"/>
        <v>9578.5915909090927</v>
      </c>
      <c r="Z3" s="4">
        <f t="shared" si="6"/>
        <v>5747.1549545454554</v>
      </c>
      <c r="AA3" s="4">
        <f t="shared" si="7"/>
        <v>22988.619818181822</v>
      </c>
    </row>
    <row r="4" spans="1:28" ht="15" thickBot="1">
      <c r="A4" s="4"/>
      <c r="B4" s="4" t="s">
        <v>55</v>
      </c>
      <c r="C4" s="4"/>
      <c r="D4" s="4" t="s">
        <v>93</v>
      </c>
      <c r="E4" s="22"/>
      <c r="F4" s="23" t="s">
        <v>94</v>
      </c>
      <c r="G4" s="4">
        <v>1</v>
      </c>
      <c r="H4" s="4"/>
      <c r="I4" s="4"/>
      <c r="J4" s="4"/>
      <c r="K4" s="8">
        <f t="shared" si="8"/>
        <v>3831.4366363636368</v>
      </c>
      <c r="L4" s="8">
        <f>IFERROR(VLOOKUP($B4,Tecnicos_CAP!$E$1:$N$20,10,0)*G4,)</f>
        <v>3831.4366363636368</v>
      </c>
      <c r="M4" s="8">
        <f>IFERROR(VLOOKUP($B4,Tecnicos_CAP!$E$1:$N$20,10,0)*H4,)</f>
        <v>0</v>
      </c>
      <c r="N4" s="8">
        <f>IFERROR(VLOOKUP($B4,Tecnicos_CAP!$E$1:$N$20,10,0)*I4,)</f>
        <v>0</v>
      </c>
      <c r="O4" s="8">
        <f>IFERROR(VLOOKUP($B4,Tecnicos_CAP!$E$1:$N$20,10,0)*J4,)</f>
        <v>0</v>
      </c>
      <c r="Q4" s="4">
        <f t="shared" ref="Q4:Q9" si="9">SUM(G4:I4)</f>
        <v>1</v>
      </c>
      <c r="R4" s="4"/>
      <c r="S4" s="4">
        <f t="shared" si="0"/>
        <v>4.5</v>
      </c>
      <c r="T4" s="4">
        <f t="shared" si="1"/>
        <v>11</v>
      </c>
      <c r="U4" s="4">
        <f t="shared" si="2"/>
        <v>6.5</v>
      </c>
      <c r="V4" s="4">
        <f t="shared" si="3"/>
        <v>22</v>
      </c>
      <c r="W4" s="4"/>
      <c r="X4" s="4">
        <f t="shared" si="4"/>
        <v>17241.464863636367</v>
      </c>
      <c r="Y4" s="4">
        <f t="shared" si="5"/>
        <v>42145.803000000007</v>
      </c>
      <c r="Z4" s="4">
        <f t="shared" si="6"/>
        <v>24904.33813636364</v>
      </c>
      <c r="AA4" s="4">
        <f t="shared" si="7"/>
        <v>84291.606000000014</v>
      </c>
    </row>
    <row r="5" spans="1:28" ht="15" thickBot="1">
      <c r="A5" s="4"/>
      <c r="B5" s="4" t="s">
        <v>58</v>
      </c>
      <c r="C5" s="4"/>
      <c r="D5" s="4" t="s">
        <v>93</v>
      </c>
      <c r="E5" s="22"/>
      <c r="F5" s="23" t="s">
        <v>94</v>
      </c>
      <c r="G5" s="4">
        <v>1</v>
      </c>
      <c r="H5" s="4"/>
      <c r="I5" s="4"/>
      <c r="J5" s="4"/>
      <c r="K5" s="8">
        <f>SUM(L5:O5)</f>
        <v>2646.1272727272731</v>
      </c>
      <c r="L5" s="8">
        <f>IFERROR(VLOOKUP($B5,Tecnicos_CAP!$E$1:$N$20,10,0)*G5,)</f>
        <v>2646.1272727272731</v>
      </c>
      <c r="M5" s="8">
        <f>IFERROR(VLOOKUP($B5,Tecnicos_CAP!$E$1:$N$20,10,0)*H5,)</f>
        <v>0</v>
      </c>
      <c r="N5" s="8">
        <f>IFERROR(VLOOKUP($B5,Tecnicos_CAP!$E$1:$N$20,10,0)*I5,)</f>
        <v>0</v>
      </c>
      <c r="O5" s="8">
        <f>IFERROR(VLOOKUP($B5,Tecnicos_CAP!$E$1:$N$20,10,0)*J5,)</f>
        <v>0</v>
      </c>
      <c r="Q5" s="4">
        <f t="shared" si="9"/>
        <v>1</v>
      </c>
      <c r="R5" s="4"/>
      <c r="S5" s="4">
        <f t="shared" si="0"/>
        <v>11</v>
      </c>
      <c r="T5" s="4">
        <f t="shared" si="1"/>
        <v>11</v>
      </c>
      <c r="U5" s="4">
        <f t="shared" si="2"/>
        <v>11</v>
      </c>
      <c r="V5" s="4">
        <f t="shared" si="3"/>
        <v>33</v>
      </c>
      <c r="W5" s="4"/>
      <c r="X5" s="8">
        <f t="shared" si="4"/>
        <v>29107.400000000005</v>
      </c>
      <c r="Y5" s="4">
        <f t="shared" si="5"/>
        <v>29107.400000000005</v>
      </c>
      <c r="Z5" s="4">
        <f t="shared" si="6"/>
        <v>29107.400000000005</v>
      </c>
      <c r="AA5" s="4">
        <f t="shared" si="7"/>
        <v>87322.200000000012</v>
      </c>
    </row>
    <row r="6" spans="1:28" ht="15" thickBot="1">
      <c r="A6" s="4"/>
      <c r="B6" s="4" t="s">
        <v>59</v>
      </c>
      <c r="C6" s="4"/>
      <c r="D6" s="4" t="s">
        <v>93</v>
      </c>
      <c r="E6" s="22"/>
      <c r="F6" s="23" t="s">
        <v>94</v>
      </c>
      <c r="G6" s="4"/>
      <c r="H6" s="8"/>
      <c r="I6" s="8"/>
      <c r="J6" s="4"/>
      <c r="K6" s="8">
        <f t="shared" si="8"/>
        <v>0</v>
      </c>
      <c r="L6" s="8">
        <f>IFERROR(VLOOKUP($B6,Tecnicos_CAP!$E$1:$N$20,10,0)*G6,)</f>
        <v>0</v>
      </c>
      <c r="M6" s="8">
        <f>IFERROR(VLOOKUP($B6,Tecnicos_CAP!$E$1:$N$20,10,0)*H6,)</f>
        <v>0</v>
      </c>
      <c r="N6" s="8">
        <f>IFERROR(VLOOKUP($B6,Tecnicos_CAP!$E$1:$N$20,10,0)*I6,)</f>
        <v>0</v>
      </c>
      <c r="O6" s="8">
        <f>IFERROR(VLOOKUP($B6,Tecnicos_CAP!$E$1:$N$20,10,0)*J6,)</f>
        <v>0</v>
      </c>
      <c r="Q6" s="30">
        <f>SUM(G6:I6)</f>
        <v>0</v>
      </c>
      <c r="R6" s="4"/>
      <c r="S6" s="4">
        <f t="shared" si="0"/>
        <v>2.5</v>
      </c>
      <c r="T6" s="4">
        <f t="shared" si="1"/>
        <v>2.5</v>
      </c>
      <c r="U6" s="31">
        <f t="shared" si="2"/>
        <v>2.5</v>
      </c>
      <c r="V6" s="4">
        <f t="shared" si="3"/>
        <v>7.5</v>
      </c>
      <c r="W6" s="4"/>
      <c r="X6" s="4">
        <f t="shared" si="4"/>
        <v>17140.483977272728</v>
      </c>
      <c r="Y6" s="4">
        <f t="shared" si="5"/>
        <v>17140.483977272728</v>
      </c>
      <c r="Z6" s="4">
        <f t="shared" si="6"/>
        <v>17140.483977272728</v>
      </c>
      <c r="AA6" s="4">
        <f t="shared" si="7"/>
        <v>51421.451931818185</v>
      </c>
    </row>
    <row r="7" spans="1:28" ht="15" thickBot="1">
      <c r="A7" s="4"/>
      <c r="B7" s="4" t="s">
        <v>61</v>
      </c>
      <c r="C7" s="4"/>
      <c r="D7" s="4" t="s">
        <v>93</v>
      </c>
      <c r="E7" s="22"/>
      <c r="F7" s="23" t="s">
        <v>94</v>
      </c>
      <c r="G7" s="4"/>
      <c r="H7" s="4"/>
      <c r="I7" s="4"/>
      <c r="J7" s="4"/>
      <c r="K7" s="8">
        <f t="shared" si="8"/>
        <v>0</v>
      </c>
      <c r="L7" s="8">
        <f>IFERROR(VLOOKUP($B7,Tecnicos_CAP!$E$1:$N$20,10,0)*G7,)</f>
        <v>0</v>
      </c>
      <c r="M7" s="8">
        <f>IFERROR(VLOOKUP($B7,Tecnicos_CAP!$E$1:$N$20,10,0)*H7,)</f>
        <v>0</v>
      </c>
      <c r="N7" s="8">
        <f>IFERROR(VLOOKUP($B7,Tecnicos_CAP!$E$1:$N$20,10,0)*I7,)</f>
        <v>0</v>
      </c>
      <c r="O7" s="8">
        <f>IFERROR(VLOOKUP($B7,Tecnicos_CAP!$E$1:$N$20,10,0)*J7,)</f>
        <v>0</v>
      </c>
      <c r="Q7" s="4">
        <f t="shared" si="9"/>
        <v>0</v>
      </c>
      <c r="R7" s="4"/>
      <c r="S7" s="4">
        <f t="shared" si="0"/>
        <v>0.5</v>
      </c>
      <c r="T7" s="4">
        <f t="shared" si="1"/>
        <v>5</v>
      </c>
      <c r="U7" s="4">
        <f t="shared" si="2"/>
        <v>4</v>
      </c>
      <c r="V7" s="4">
        <f t="shared" si="3"/>
        <v>9.5</v>
      </c>
      <c r="W7" s="4"/>
      <c r="X7" s="4">
        <f t="shared" si="4"/>
        <v>983.08297818181825</v>
      </c>
      <c r="Y7" s="4">
        <f t="shared" si="5"/>
        <v>9830.8297818181818</v>
      </c>
      <c r="Z7" s="4">
        <f t="shared" si="6"/>
        <v>7864.663825454546</v>
      </c>
      <c r="AA7" s="4">
        <f t="shared" si="7"/>
        <v>18678.576585454546</v>
      </c>
    </row>
    <row r="8" spans="1:28" ht="15" thickBot="1">
      <c r="A8" s="4"/>
      <c r="B8" s="4" t="s">
        <v>63</v>
      </c>
      <c r="C8" s="4"/>
      <c r="D8" s="4" t="s">
        <v>93</v>
      </c>
      <c r="E8" s="22"/>
      <c r="F8" s="23" t="s">
        <v>94</v>
      </c>
      <c r="G8" s="4"/>
      <c r="H8" s="4"/>
      <c r="I8" s="4"/>
      <c r="J8" s="4"/>
      <c r="K8" s="8">
        <f t="shared" si="8"/>
        <v>0</v>
      </c>
      <c r="L8" s="8">
        <f>IFERROR(VLOOKUP($B8,Tecnicos_CAP!$E$1:$N$20,10,0)*G8,)</f>
        <v>0</v>
      </c>
      <c r="M8" s="8">
        <f>IFERROR(VLOOKUP($B8,Tecnicos_CAP!$E$1:$N$20,10,0)*H8,)</f>
        <v>0</v>
      </c>
      <c r="N8" s="8">
        <f>IFERROR(VLOOKUP($B8,Tecnicos_CAP!$E$1:$N$20,10,0)*I8,)</f>
        <v>0</v>
      </c>
      <c r="O8" s="8">
        <f>IFERROR(VLOOKUP($B8,Tecnicos_CAP!$E$1:$N$20,10,0)*J8,)</f>
        <v>0</v>
      </c>
      <c r="Q8" s="4">
        <f t="shared" si="9"/>
        <v>0</v>
      </c>
      <c r="R8" s="4"/>
      <c r="S8" s="4">
        <f t="shared" si="0"/>
        <v>3</v>
      </c>
      <c r="T8" s="4">
        <f t="shared" si="1"/>
        <v>5</v>
      </c>
      <c r="U8" s="4">
        <f t="shared" si="2"/>
        <v>4</v>
      </c>
      <c r="V8" s="4">
        <f t="shared" si="3"/>
        <v>12</v>
      </c>
      <c r="W8" s="4"/>
      <c r="X8" s="4">
        <f t="shared" si="4"/>
        <v>6957.104432727273</v>
      </c>
      <c r="Y8" s="4">
        <f t="shared" si="5"/>
        <v>11595.174054545456</v>
      </c>
      <c r="Z8" s="4">
        <f t="shared" si="6"/>
        <v>9276.139243636364</v>
      </c>
      <c r="AA8" s="4">
        <f t="shared" si="7"/>
        <v>27828.417730909092</v>
      </c>
    </row>
    <row r="9" spans="1:28" ht="15" thickBot="1">
      <c r="A9" s="4"/>
      <c r="B9" s="4" t="s">
        <v>64</v>
      </c>
      <c r="C9" s="4"/>
      <c r="D9" s="4" t="s">
        <v>93</v>
      </c>
      <c r="E9" s="22"/>
      <c r="F9" s="23" t="s">
        <v>94</v>
      </c>
      <c r="G9" s="4"/>
      <c r="H9" s="4"/>
      <c r="I9" s="4"/>
      <c r="J9" s="4"/>
      <c r="K9" s="8">
        <f t="shared" si="8"/>
        <v>0</v>
      </c>
      <c r="L9" s="8">
        <f>IFERROR(VLOOKUP($B9,Tecnicos_CAP!$E$1:$N$20,10,0)*G9,)</f>
        <v>0</v>
      </c>
      <c r="M9" s="8">
        <f>IFERROR(VLOOKUP($B9,Tecnicos_CAP!$E$1:$N$20,10,0)*H9,)</f>
        <v>0</v>
      </c>
      <c r="N9" s="8">
        <f>IFERROR(VLOOKUP($B9,Tecnicos_CAP!$E$1:$N$20,10,0)*I9,)</f>
        <v>0</v>
      </c>
      <c r="O9" s="8">
        <f>IFERROR(VLOOKUP($B9,Tecnicos_CAP!$E$1:$N$20,10,0)*J9,)</f>
        <v>0</v>
      </c>
      <c r="Q9" s="4">
        <f t="shared" si="9"/>
        <v>0</v>
      </c>
      <c r="R9" s="4"/>
      <c r="S9" s="4">
        <f t="shared" si="0"/>
        <v>0</v>
      </c>
      <c r="T9" s="4">
        <f t="shared" si="1"/>
        <v>0</v>
      </c>
      <c r="U9" s="4">
        <f t="shared" si="2"/>
        <v>5.5</v>
      </c>
      <c r="V9" s="4">
        <f>S9+T9+U9</f>
        <v>5.5</v>
      </c>
      <c r="W9" s="4"/>
      <c r="X9" s="32">
        <f t="shared" si="4"/>
        <v>0</v>
      </c>
      <c r="Y9" s="32">
        <f t="shared" si="5"/>
        <v>0</v>
      </c>
      <c r="Z9" s="32">
        <f t="shared" si="6"/>
        <v>41610.483670000001</v>
      </c>
      <c r="AA9" s="32">
        <f t="shared" si="7"/>
        <v>41610.483670000001</v>
      </c>
    </row>
    <row r="10" spans="1:28" ht="15" thickBot="1">
      <c r="A10" s="4"/>
      <c r="B10" s="4" t="s">
        <v>65</v>
      </c>
      <c r="C10" s="4"/>
      <c r="D10" s="4" t="s">
        <v>93</v>
      </c>
      <c r="E10" s="22"/>
      <c r="F10" s="23" t="s">
        <v>94</v>
      </c>
      <c r="G10" s="4"/>
      <c r="H10" s="4"/>
      <c r="I10" s="4"/>
      <c r="J10" s="4"/>
      <c r="K10" s="8">
        <f>SUM(L10:O10)</f>
        <v>0</v>
      </c>
      <c r="L10" s="8">
        <f>IFERROR(VLOOKUP($B10,Tecnicos_CAP!$E$1:$N$20,10,0)*G10,)</f>
        <v>0</v>
      </c>
      <c r="M10" s="8">
        <f>IFERROR(VLOOKUP($B10,Tecnicos_CAP!$E$1:$N$20,10,0)*H10,)</f>
        <v>0</v>
      </c>
      <c r="N10" s="8">
        <f>IFERROR(VLOOKUP($B10,Tecnicos_CAP!$E$1:$N$20,10,0)*I10,)</f>
        <v>0</v>
      </c>
      <c r="O10" s="8">
        <f>IFERROR(VLOOKUP($B10,Tecnicos_CAP!$E$1:$N$20,10,0)*J10,)</f>
        <v>0</v>
      </c>
      <c r="Q10" s="4">
        <f>SUM(G10:I10)</f>
        <v>0</v>
      </c>
      <c r="R10" s="4"/>
      <c r="S10" s="4">
        <f t="shared" si="0"/>
        <v>8</v>
      </c>
      <c r="T10" s="4">
        <f t="shared" si="1"/>
        <v>11</v>
      </c>
      <c r="U10" s="4">
        <f t="shared" si="2"/>
        <v>3</v>
      </c>
      <c r="V10" s="4">
        <f t="shared" si="3"/>
        <v>22</v>
      </c>
      <c r="W10" s="4"/>
      <c r="X10" s="4">
        <f t="shared" si="4"/>
        <v>11507.956363636365</v>
      </c>
      <c r="Y10" s="4">
        <f t="shared" si="5"/>
        <v>15823.440000000002</v>
      </c>
      <c r="Z10" s="4">
        <f t="shared" si="6"/>
        <v>4315.4836363636368</v>
      </c>
      <c r="AA10" s="4">
        <f t="shared" si="7"/>
        <v>31646.880000000005</v>
      </c>
    </row>
    <row r="11" spans="1:28" ht="15" thickBot="1">
      <c r="A11" s="4"/>
      <c r="B11" s="4" t="s">
        <v>175</v>
      </c>
      <c r="C11" s="4"/>
      <c r="D11" s="4"/>
      <c r="E11" s="22"/>
      <c r="F11" s="23"/>
      <c r="G11" s="4"/>
      <c r="H11" s="4"/>
      <c r="I11" s="4"/>
      <c r="J11" s="4"/>
      <c r="K11" s="8"/>
      <c r="L11" s="8"/>
      <c r="M11" s="8"/>
      <c r="N11" s="8"/>
      <c r="O11" s="8"/>
      <c r="Q11" s="62">
        <f>SUM(G11:I11)</f>
        <v>0</v>
      </c>
      <c r="R11" s="62"/>
      <c r="S11" s="62">
        <f t="shared" si="0"/>
        <v>4</v>
      </c>
      <c r="T11" s="62">
        <f t="shared" si="1"/>
        <v>4</v>
      </c>
      <c r="U11" s="62">
        <f t="shared" si="2"/>
        <v>4</v>
      </c>
      <c r="V11" s="62">
        <f t="shared" ref="V11" si="10">S11+T11+U11</f>
        <v>12</v>
      </c>
      <c r="W11" s="62"/>
      <c r="X11" s="62">
        <f t="shared" si="4"/>
        <v>30262.169941818182</v>
      </c>
      <c r="Y11" s="62">
        <f t="shared" si="5"/>
        <v>30262.169941818182</v>
      </c>
      <c r="Z11" s="62">
        <f t="shared" si="6"/>
        <v>30262.169941818182</v>
      </c>
      <c r="AA11" s="62">
        <f t="shared" ref="AA11" si="11">X11+Y11+Z11</f>
        <v>90786.509825454545</v>
      </c>
    </row>
    <row r="12" spans="1:28">
      <c r="A12" s="4"/>
      <c r="B12" s="4"/>
      <c r="C12" s="4"/>
      <c r="D12" s="4" t="s">
        <v>93</v>
      </c>
      <c r="E12" s="22"/>
      <c r="F12" s="23"/>
      <c r="G12" s="4"/>
      <c r="H12" s="4"/>
      <c r="I12" s="4"/>
      <c r="J12" s="4"/>
      <c r="K12" s="8"/>
      <c r="L12" s="8">
        <f>IFERROR(VLOOKUP($B12,Tecnicos_CAP!$E$1:$N$20,10,0)*G12,)</f>
        <v>0</v>
      </c>
      <c r="M12" s="8">
        <f>IFERROR(VLOOKUP($B12,Tecnicos_CAP!$E$1:$N$20,10,0)*H12,)</f>
        <v>0</v>
      </c>
      <c r="N12" s="8">
        <f>IFERROR(VLOOKUP($B12,Tecnicos_CAP!$E$1:$N$20,10,0)*I12,)</f>
        <v>0</v>
      </c>
      <c r="O12" s="8">
        <f>IFERROR(VLOOKUP($B12,Tecnicos_CAP!$E$1:$N$20,10,0)*J12,)</f>
        <v>0</v>
      </c>
      <c r="Q12" s="4"/>
      <c r="R12" s="4">
        <f t="shared" ref="R12:Z12" si="12">SUM(R2:R11)</f>
        <v>0</v>
      </c>
      <c r="S12" s="4">
        <f t="shared" si="12"/>
        <v>35.5</v>
      </c>
      <c r="T12" s="4">
        <f t="shared" si="12"/>
        <v>54</v>
      </c>
      <c r="U12" s="4">
        <f t="shared" si="12"/>
        <v>44.5</v>
      </c>
      <c r="V12" s="4">
        <f t="shared" si="12"/>
        <v>134</v>
      </c>
      <c r="W12" s="4">
        <f t="shared" si="12"/>
        <v>0</v>
      </c>
      <c r="X12" s="4">
        <f t="shared" si="12"/>
        <v>120862.53583000001</v>
      </c>
      <c r="Y12" s="4">
        <f t="shared" si="12"/>
        <v>173146.76561909093</v>
      </c>
      <c r="Z12" s="4">
        <f t="shared" si="12"/>
        <v>179806.90897636366</v>
      </c>
      <c r="AA12" s="4">
        <f>SUM(AA2:AA11)</f>
        <v>473816.21042545454</v>
      </c>
      <c r="AB12" s="34"/>
    </row>
    <row r="13" spans="1:28">
      <c r="A13" s="17"/>
      <c r="B13" s="17" t="str">
        <f t="shared" ref="B13:B21" si="13">B2</f>
        <v>C2 - Specialist in Electrochemistry</v>
      </c>
      <c r="C13" s="17"/>
      <c r="D13" s="17" t="s">
        <v>93</v>
      </c>
      <c r="E13" s="24"/>
      <c r="F13" s="25" t="s">
        <v>95</v>
      </c>
      <c r="G13" s="17">
        <v>0</v>
      </c>
      <c r="H13" s="17"/>
      <c r="I13" s="17"/>
      <c r="J13" s="17"/>
      <c r="K13" s="26">
        <f t="shared" si="8"/>
        <v>0</v>
      </c>
      <c r="L13" s="8">
        <f>IFERROR(VLOOKUP($B13,Tecnicos_CAP!$E$1:$N$20,10,0)*G13,)</f>
        <v>0</v>
      </c>
      <c r="M13" s="8">
        <f>IFERROR(VLOOKUP($B13,Tecnicos_CAP!$E$1:$N$20,10,0)*H13,)</f>
        <v>0</v>
      </c>
      <c r="N13" s="8">
        <f>IFERROR(VLOOKUP($B13,Tecnicos_CAP!$E$1:$N$20,10,0)*I13,)</f>
        <v>0</v>
      </c>
      <c r="O13" s="8">
        <f>IFERROR(VLOOKUP($B13,Tecnicos_CAP!$E$1:$N$20,10,0)*J13,)</f>
        <v>0</v>
      </c>
      <c r="AA13" s="34">
        <f>SUM(AA2:AA11)</f>
        <v>473816.21042545454</v>
      </c>
    </row>
    <row r="14" spans="1:28">
      <c r="A14" s="17"/>
      <c r="B14" s="17" t="str">
        <f t="shared" si="13"/>
        <v>C5 - Specialist in Chemical Functionalization and Optical Sensing</v>
      </c>
      <c r="C14" s="17"/>
      <c r="D14" s="17" t="s">
        <v>93</v>
      </c>
      <c r="E14" s="24"/>
      <c r="F14" s="25" t="s">
        <v>95</v>
      </c>
      <c r="G14" s="17">
        <v>1</v>
      </c>
      <c r="H14" s="17"/>
      <c r="I14" s="17"/>
      <c r="J14" s="17"/>
      <c r="K14" s="26">
        <f t="shared" si="8"/>
        <v>3831.4366363636368</v>
      </c>
      <c r="L14" s="8">
        <f>IFERROR(VLOOKUP($B14,Tecnicos_CAP!$E$1:$N$20,10,0)*G14,)</f>
        <v>3831.4366363636368</v>
      </c>
      <c r="M14" s="8">
        <f>IFERROR(VLOOKUP($B14,Tecnicos_CAP!$E$1:$N$20,10,0)*H14,)</f>
        <v>0</v>
      </c>
      <c r="N14" s="8">
        <f>IFERROR(VLOOKUP($B14,Tecnicos_CAP!$E$1:$N$20,10,0)*I14,)</f>
        <v>0</v>
      </c>
      <c r="O14" s="8">
        <f>IFERROR(VLOOKUP($B14,Tecnicos_CAP!$E$1:$N$20,10,0)*J14,)</f>
        <v>0</v>
      </c>
    </row>
    <row r="15" spans="1:28">
      <c r="A15" s="17"/>
      <c r="B15" s="17" t="str">
        <f t="shared" si="13"/>
        <v>C1 - Specialist in Signal Processing and Hardware Instrumentation Design</v>
      </c>
      <c r="C15" s="17"/>
      <c r="D15" s="17" t="s">
        <v>93</v>
      </c>
      <c r="E15" s="24"/>
      <c r="F15" s="25" t="s">
        <v>95</v>
      </c>
      <c r="G15" s="17">
        <v>1</v>
      </c>
      <c r="H15" s="17"/>
      <c r="I15" s="17"/>
      <c r="J15" s="17"/>
      <c r="K15" s="26">
        <f t="shared" si="8"/>
        <v>3831.4366363636368</v>
      </c>
      <c r="L15" s="8">
        <f>IFERROR(VLOOKUP($B15,Tecnicos_CAP!$E$1:$N$20,10,0)*G15,)</f>
        <v>3831.4366363636368</v>
      </c>
      <c r="M15" s="8">
        <f>IFERROR(VLOOKUP($B15,Tecnicos_CAP!$E$1:$N$20,10,0)*H15,)</f>
        <v>0</v>
      </c>
      <c r="N15" s="8">
        <f>IFERROR(VLOOKUP($B15,Tecnicos_CAP!$E$1:$N$20,10,0)*I15,)</f>
        <v>0</v>
      </c>
      <c r="O15" s="8">
        <f>IFERROR(VLOOKUP($B15,Tecnicos_CAP!$E$1:$N$20,10,0)*J15,)</f>
        <v>0</v>
      </c>
    </row>
    <row r="16" spans="1:28">
      <c r="A16" s="17"/>
      <c r="B16" s="35" t="str">
        <f t="shared" si="13"/>
        <v>C3 - Specialist in Physics Engineering</v>
      </c>
      <c r="C16" s="17"/>
      <c r="D16" s="17" t="s">
        <v>93</v>
      </c>
      <c r="E16" s="24"/>
      <c r="F16" s="25" t="s">
        <v>95</v>
      </c>
      <c r="G16" s="17">
        <v>1</v>
      </c>
      <c r="H16" s="17"/>
      <c r="I16" s="17"/>
      <c r="J16" s="17"/>
      <c r="K16" s="26">
        <f t="shared" si="8"/>
        <v>2646.1272727272731</v>
      </c>
      <c r="L16" s="8">
        <f>IFERROR(VLOOKUP($B16,Tecnicos_CAP!$E$1:$N$20,10,0)*G16,)</f>
        <v>2646.1272727272731</v>
      </c>
      <c r="M16" s="8">
        <f>IFERROR(VLOOKUP($B16,Tecnicos_CAP!$E$1:$N$20,10,0)*H16,)</f>
        <v>0</v>
      </c>
      <c r="N16" s="8">
        <f>IFERROR(VLOOKUP($B16,Tecnicos_CAP!$E$1:$N$20,10,0)*I16,)</f>
        <v>0</v>
      </c>
      <c r="O16" s="8">
        <f>IFERROR(VLOOKUP($B16,Tecnicos_CAP!$E$1:$N$20,10,0)*J16,)</f>
        <v>0</v>
      </c>
    </row>
    <row r="17" spans="1:15">
      <c r="A17" s="17"/>
      <c r="B17" s="17" t="str">
        <f t="shared" si="13"/>
        <v>C4 - Specialist in Optical Sensing Technologies</v>
      </c>
      <c r="C17" s="17"/>
      <c r="D17" s="17" t="s">
        <v>93</v>
      </c>
      <c r="E17" s="24"/>
      <c r="F17" s="25" t="s">
        <v>95</v>
      </c>
      <c r="G17" s="17"/>
      <c r="H17" s="17"/>
      <c r="I17" s="17"/>
      <c r="J17" s="17"/>
      <c r="K17" s="26">
        <f t="shared" si="8"/>
        <v>0</v>
      </c>
      <c r="L17" s="8">
        <f>IFERROR(VLOOKUP($B17,Tecnicos_CAP!$E$1:$N$20,10,0)*G17,)</f>
        <v>0</v>
      </c>
      <c r="M17" s="8">
        <f>IFERROR(VLOOKUP($B17,Tecnicos_CAP!$E$1:$N$20,10,0)*H17,)</f>
        <v>0</v>
      </c>
      <c r="N17" s="8">
        <f>IFERROR(VLOOKUP($B17,Tecnicos_CAP!$E$1:$N$20,10,0)*I17,)</f>
        <v>0</v>
      </c>
      <c r="O17" s="8">
        <f>IFERROR(VLOOKUP($B17,Tecnicos_CAP!$E$1:$N$20,10,0)*J17,)</f>
        <v>0</v>
      </c>
    </row>
    <row r="18" spans="1:15">
      <c r="A18" s="17"/>
      <c r="B18" s="17" t="str">
        <f t="shared" si="13"/>
        <v>C6 - Electronic Technician Specialist</v>
      </c>
      <c r="C18" s="17"/>
      <c r="D18" s="17" t="s">
        <v>93</v>
      </c>
      <c r="E18" s="24"/>
      <c r="F18" s="25" t="s">
        <v>95</v>
      </c>
      <c r="G18" s="17"/>
      <c r="H18" s="17"/>
      <c r="I18" s="17"/>
      <c r="J18" s="17"/>
      <c r="K18" s="26">
        <f t="shared" si="8"/>
        <v>0</v>
      </c>
      <c r="L18" s="8">
        <f>IFERROR(VLOOKUP($B18,Tecnicos_CAP!$E$1:$N$20,10,0)*G18,)</f>
        <v>0</v>
      </c>
      <c r="M18" s="8">
        <f>IFERROR(VLOOKUP($B18,Tecnicos_CAP!$E$1:$N$20,10,0)*H18,)</f>
        <v>0</v>
      </c>
      <c r="N18" s="8">
        <f>IFERROR(VLOOKUP($B18,Tecnicos_CAP!$E$1:$N$20,10,0)*I18,)</f>
        <v>0</v>
      </c>
      <c r="O18" s="8">
        <f>IFERROR(VLOOKUP($B18,Tecnicos_CAP!$E$1:$N$20,10,0)*J18,)</f>
        <v>0</v>
      </c>
    </row>
    <row r="19" spans="1:15">
      <c r="A19" s="17"/>
      <c r="B19" s="17" t="str">
        <f t="shared" si="13"/>
        <v xml:space="preserve">C7 - Specialist in Electronics </v>
      </c>
      <c r="C19" s="17"/>
      <c r="D19" s="17" t="s">
        <v>93</v>
      </c>
      <c r="E19" s="24"/>
      <c r="F19" s="25" t="s">
        <v>95</v>
      </c>
      <c r="G19" s="17"/>
      <c r="H19" s="17"/>
      <c r="I19" s="17"/>
      <c r="J19" s="17"/>
      <c r="K19" s="26">
        <f t="shared" si="8"/>
        <v>0</v>
      </c>
      <c r="L19" s="8">
        <f>IFERROR(VLOOKUP($B19,Tecnicos_CAP!$E$1:$N$20,10,0)*G19,)</f>
        <v>0</v>
      </c>
      <c r="M19" s="8">
        <f>IFERROR(VLOOKUP($B19,Tecnicos_CAP!$E$1:$N$20,10,0)*H19,)</f>
        <v>0</v>
      </c>
      <c r="N19" s="8">
        <f>IFERROR(VLOOKUP($B19,Tecnicos_CAP!$E$1:$N$20,10,0)*I19,)</f>
        <v>0</v>
      </c>
      <c r="O19" s="8">
        <f>IFERROR(VLOOKUP($B19,Tecnicos_CAP!$E$1:$N$20,10,0)*J19,)</f>
        <v>0</v>
      </c>
    </row>
    <row r="20" spans="1:15">
      <c r="A20" s="17"/>
      <c r="B20" s="17" t="str">
        <f t="shared" si="13"/>
        <v>D1 - Specialist in Physics</v>
      </c>
      <c r="C20" s="17"/>
      <c r="D20" s="17" t="s">
        <v>93</v>
      </c>
      <c r="E20" s="24"/>
      <c r="F20" s="25" t="s">
        <v>95</v>
      </c>
      <c r="G20" s="17"/>
      <c r="H20" s="17"/>
      <c r="I20" s="17"/>
      <c r="J20" s="17"/>
      <c r="K20" s="26">
        <f t="shared" si="8"/>
        <v>0</v>
      </c>
      <c r="L20" s="8">
        <f>IFERROR(VLOOKUP($B20,Tecnicos_CAP!$E$1:$N$20,10,0)*G20,)</f>
        <v>0</v>
      </c>
      <c r="M20" s="8">
        <f>IFERROR(VLOOKUP($B20,Tecnicos_CAP!$E$1:$N$20,10,0)*H20,)</f>
        <v>0</v>
      </c>
      <c r="N20" s="8">
        <f>IFERROR(VLOOKUP($B20,Tecnicos_CAP!$E$1:$N$20,10,0)*I20,)</f>
        <v>0</v>
      </c>
      <c r="O20" s="8">
        <f>IFERROR(VLOOKUP($B20,Tecnicos_CAP!$E$1:$N$20,10,0)*J20,)</f>
        <v>0</v>
      </c>
    </row>
    <row r="21" spans="1:15">
      <c r="A21" s="17"/>
      <c r="B21" s="17" t="str">
        <f t="shared" si="13"/>
        <v>C8 - Specialist in Optics and Instrumentation</v>
      </c>
      <c r="C21" s="17"/>
      <c r="D21" s="17" t="s">
        <v>93</v>
      </c>
      <c r="E21" s="24"/>
      <c r="F21" s="25" t="s">
        <v>95</v>
      </c>
      <c r="G21" s="17"/>
      <c r="H21" s="17"/>
      <c r="I21" s="17"/>
      <c r="J21" s="17"/>
      <c r="K21" s="26">
        <f>SUM(L21:O21)</f>
        <v>0</v>
      </c>
      <c r="L21" s="8">
        <f>IFERROR(VLOOKUP($B21,Tecnicos_CAP!$E$1:$N$20,10,0)*G21,)</f>
        <v>0</v>
      </c>
      <c r="M21" s="8">
        <f>IFERROR(VLOOKUP($B21,Tecnicos_CAP!$E$1:$N$20,10,0)*H21,)</f>
        <v>0</v>
      </c>
      <c r="N21" s="8">
        <f>IFERROR(VLOOKUP($B21,Tecnicos_CAP!$E$1:$N$20,10,0)*I21,)</f>
        <v>0</v>
      </c>
      <c r="O21" s="8">
        <f>IFERROR(VLOOKUP($B21,Tecnicos_CAP!$E$1:$N$20,10,0)*J21,)</f>
        <v>0</v>
      </c>
    </row>
    <row r="22" spans="1:15">
      <c r="A22" s="17"/>
      <c r="B22" s="4" t="s">
        <v>175</v>
      </c>
      <c r="C22" s="17"/>
      <c r="D22" s="17"/>
      <c r="E22" s="24"/>
      <c r="F22" s="25"/>
      <c r="G22" s="25"/>
      <c r="H22" s="17"/>
      <c r="I22" s="17"/>
      <c r="J22" s="17"/>
      <c r="K22" s="26"/>
      <c r="L22" s="8"/>
      <c r="M22" s="8"/>
      <c r="N22" s="8"/>
      <c r="O22" s="8"/>
    </row>
    <row r="23" spans="1:15">
      <c r="A23" s="17"/>
      <c r="B23" s="17"/>
      <c r="C23" s="17"/>
      <c r="D23" s="17" t="s">
        <v>93</v>
      </c>
      <c r="E23" s="24"/>
      <c r="F23" s="25" t="s">
        <v>95</v>
      </c>
      <c r="G23" s="25"/>
      <c r="H23" s="17"/>
      <c r="I23" s="17"/>
      <c r="J23" s="17"/>
      <c r="K23" s="26"/>
      <c r="L23" s="8">
        <f>IFERROR(VLOOKUP($B23,Tecnicos_CAP!$E$1:$N$20,10,0)*G23,)</f>
        <v>0</v>
      </c>
      <c r="M23" s="8">
        <f>IFERROR(VLOOKUP($B23,Tecnicos_CAP!$E$1:$N$20,10,0)*H23,)</f>
        <v>0</v>
      </c>
      <c r="N23" s="8">
        <f>IFERROR(VLOOKUP($B23,Tecnicos_CAP!$E$1:$N$20,10,0)*I23,)</f>
        <v>0</v>
      </c>
      <c r="O23" s="8">
        <f>IFERROR(VLOOKUP($B23,Tecnicos_CAP!$E$1:$N$20,10,0)*J23,)</f>
        <v>0</v>
      </c>
    </row>
    <row r="24" spans="1:15">
      <c r="A24" s="4"/>
      <c r="B24" s="4" t="str">
        <f t="shared" ref="B24:B32" si="14">B2</f>
        <v>C2 - Specialist in Electrochemistry</v>
      </c>
      <c r="C24" s="4"/>
      <c r="D24" s="4" t="s">
        <v>93</v>
      </c>
      <c r="E24" s="22"/>
      <c r="F24" t="s">
        <v>96</v>
      </c>
      <c r="G24" s="22"/>
      <c r="H24" s="62">
        <v>1</v>
      </c>
      <c r="I24" s="4"/>
      <c r="J24" s="4"/>
      <c r="K24" s="8">
        <f t="shared" si="8"/>
        <v>3831.4366363636368</v>
      </c>
      <c r="L24" s="8">
        <f>IFERROR(VLOOKUP($B24,Tecnicos_CAP!$E$1:$N$20,10,0)*G24,)</f>
        <v>0</v>
      </c>
      <c r="M24" s="8">
        <f>IFERROR(VLOOKUP($B24,Tecnicos_CAP!$E$1:$N$20,10,0)*H24,)</f>
        <v>3831.4366363636368</v>
      </c>
      <c r="N24" s="8">
        <f>IFERROR(VLOOKUP($B24,Tecnicos_CAP!$E$1:$N$20,10,0)*I24,)</f>
        <v>0</v>
      </c>
      <c r="O24" s="8">
        <f>IFERROR(VLOOKUP($B24,Tecnicos_CAP!$E$1:$N$20,10,0)*J24,)</f>
        <v>0</v>
      </c>
    </row>
    <row r="25" spans="1:15">
      <c r="A25" s="4"/>
      <c r="B25" s="4" t="str">
        <f t="shared" si="14"/>
        <v>C5 - Specialist in Chemical Functionalization and Optical Sensing</v>
      </c>
      <c r="C25" s="4"/>
      <c r="D25" s="4" t="s">
        <v>93</v>
      </c>
      <c r="E25" s="22"/>
      <c r="F25" t="s">
        <v>96</v>
      </c>
      <c r="G25" s="22"/>
      <c r="H25" s="62">
        <v>2</v>
      </c>
      <c r="I25" s="4"/>
      <c r="J25" s="4"/>
      <c r="K25" s="8">
        <f t="shared" si="8"/>
        <v>7662.8732727272736</v>
      </c>
      <c r="L25" s="8">
        <f>IFERROR(VLOOKUP($B25,Tecnicos_CAP!$E$1:$N$20,10,0)*G25,)</f>
        <v>0</v>
      </c>
      <c r="M25" s="8">
        <f>IFERROR(VLOOKUP($B25,Tecnicos_CAP!$E$1:$N$20,10,0)*H25,)</f>
        <v>7662.8732727272736</v>
      </c>
      <c r="N25" s="8">
        <f>IFERROR(VLOOKUP($B25,Tecnicos_CAP!$E$1:$N$20,10,0)*I25,)</f>
        <v>0</v>
      </c>
      <c r="O25" s="8">
        <f>IFERROR(VLOOKUP($B25,Tecnicos_CAP!$E$1:$N$20,10,0)*J25,)</f>
        <v>0</v>
      </c>
    </row>
    <row r="26" spans="1:15">
      <c r="A26" s="4"/>
      <c r="B26" s="4" t="str">
        <f t="shared" si="14"/>
        <v>C1 - Specialist in Signal Processing and Hardware Instrumentation Design</v>
      </c>
      <c r="C26" s="4"/>
      <c r="D26" s="4" t="s">
        <v>93</v>
      </c>
      <c r="E26" s="22"/>
      <c r="F26" t="s">
        <v>96</v>
      </c>
      <c r="G26" s="63"/>
      <c r="H26" s="4">
        <v>11</v>
      </c>
      <c r="I26" s="62">
        <v>2</v>
      </c>
      <c r="J26" s="4"/>
      <c r="K26" s="8">
        <f t="shared" si="8"/>
        <v>49808.67627272728</v>
      </c>
      <c r="L26" s="8">
        <f>IFERROR(VLOOKUP($B26,Tecnicos_CAP!$E$1:$N$20,10,0)*G26,)</f>
        <v>0</v>
      </c>
      <c r="M26" s="8">
        <f>IFERROR(VLOOKUP($B26,Tecnicos_CAP!$E$1:$N$20,10,0)*H26,)</f>
        <v>42145.803000000007</v>
      </c>
      <c r="N26" s="8">
        <f>IFERROR(VLOOKUP($B26,Tecnicos_CAP!$E$1:$N$20,10,0)*I26,)</f>
        <v>7662.8732727272736</v>
      </c>
      <c r="O26" s="8">
        <f>IFERROR(VLOOKUP($B26,Tecnicos_CAP!$E$1:$N$20,10,0)*J26,)</f>
        <v>0</v>
      </c>
    </row>
    <row r="27" spans="1:15">
      <c r="A27" s="4"/>
      <c r="B27" s="4" t="str">
        <f t="shared" si="14"/>
        <v>C3 - Specialist in Physics Engineering</v>
      </c>
      <c r="C27" s="4"/>
      <c r="D27" s="4" t="s">
        <v>93</v>
      </c>
      <c r="E27" s="22"/>
      <c r="F27" t="s">
        <v>96</v>
      </c>
      <c r="G27" s="22">
        <v>6</v>
      </c>
      <c r="H27" s="4">
        <v>11</v>
      </c>
      <c r="I27" s="4">
        <v>2</v>
      </c>
      <c r="J27" s="4"/>
      <c r="K27" s="8">
        <f t="shared" si="8"/>
        <v>50276.41818181819</v>
      </c>
      <c r="L27" s="8">
        <f>IFERROR(VLOOKUP($B27,Tecnicos_CAP!$E$1:$N$20,10,0)*G27,)</f>
        <v>15876.763636363637</v>
      </c>
      <c r="M27" s="8">
        <f>IFERROR(VLOOKUP($B27,Tecnicos_CAP!$E$1:$N$20,10,0)*H27,)</f>
        <v>29107.400000000005</v>
      </c>
      <c r="N27" s="8">
        <f>IFERROR(VLOOKUP($B27,Tecnicos_CAP!$E$1:$N$20,10,0)*I27,)</f>
        <v>5292.2545454545461</v>
      </c>
      <c r="O27" s="8">
        <f>IFERROR(VLOOKUP($B27,Tecnicos_CAP!$E$1:$N$20,10,0)*J27,)</f>
        <v>0</v>
      </c>
    </row>
    <row r="28" spans="1:15">
      <c r="A28" s="4"/>
      <c r="B28" s="4" t="str">
        <f t="shared" si="14"/>
        <v>C4 - Specialist in Optical Sensing Technologies</v>
      </c>
      <c r="C28" s="4"/>
      <c r="D28" s="4" t="s">
        <v>93</v>
      </c>
      <c r="E28" s="22"/>
      <c r="F28" t="s">
        <v>96</v>
      </c>
      <c r="G28" s="63">
        <v>1.5</v>
      </c>
      <c r="H28" s="62">
        <v>1</v>
      </c>
      <c r="I28" s="4"/>
      <c r="J28" s="4"/>
      <c r="K28" s="8">
        <f t="shared" si="8"/>
        <v>17140.483977272728</v>
      </c>
      <c r="L28" s="8">
        <f>IFERROR(VLOOKUP($B28,Tecnicos_CAP!$E$1:$N$20,10,0)*G28,)</f>
        <v>10284.290386363637</v>
      </c>
      <c r="M28" s="8">
        <f>IFERROR(VLOOKUP($B28,Tecnicos_CAP!$E$1:$N$20,10,0)*H28,)</f>
        <v>6856.1935909090907</v>
      </c>
      <c r="N28" s="8">
        <f>IFERROR(VLOOKUP($B28,Tecnicos_CAP!$E$1:$N$20,10,0)*I28,)</f>
        <v>0</v>
      </c>
      <c r="O28" s="8">
        <f>IFERROR(VLOOKUP($B28,Tecnicos_CAP!$E$1:$N$20,10,0)*J28,)</f>
        <v>0</v>
      </c>
    </row>
    <row r="29" spans="1:15">
      <c r="A29" s="4"/>
      <c r="B29" s="4" t="str">
        <f t="shared" si="14"/>
        <v>C6 - Electronic Technician Specialist</v>
      </c>
      <c r="C29" s="4"/>
      <c r="D29" s="4" t="s">
        <v>93</v>
      </c>
      <c r="E29" s="22"/>
      <c r="F29" t="s">
        <v>96</v>
      </c>
      <c r="G29" s="63">
        <v>0.5</v>
      </c>
      <c r="H29" s="62">
        <v>5</v>
      </c>
      <c r="I29" s="4">
        <v>2</v>
      </c>
      <c r="J29" s="4"/>
      <c r="K29" s="8">
        <f t="shared" si="8"/>
        <v>14746.244672727273</v>
      </c>
      <c r="L29" s="8">
        <f>IFERROR(VLOOKUP($B29,Tecnicos_CAP!$E$1:$N$20,10,0)*G29,)</f>
        <v>983.08297818181825</v>
      </c>
      <c r="M29" s="8">
        <f>IFERROR(VLOOKUP($B29,Tecnicos_CAP!$E$1:$N$20,10,0)*H29,)</f>
        <v>9830.8297818181818</v>
      </c>
      <c r="N29" s="8">
        <f>IFERROR(VLOOKUP($B29,Tecnicos_CAP!$E$1:$N$20,10,0)*I29,)</f>
        <v>3932.331912727273</v>
      </c>
      <c r="O29" s="8">
        <f>IFERROR(VLOOKUP($B29,Tecnicos_CAP!$E$1:$N$20,10,0)*J29,)</f>
        <v>0</v>
      </c>
    </row>
    <row r="30" spans="1:15">
      <c r="A30" s="4"/>
      <c r="B30" s="4" t="str">
        <f t="shared" si="14"/>
        <v xml:space="preserve">C7 - Specialist in Electronics </v>
      </c>
      <c r="C30" s="4"/>
      <c r="D30" s="4" t="s">
        <v>93</v>
      </c>
      <c r="E30" s="22"/>
      <c r="F30" t="s">
        <v>96</v>
      </c>
      <c r="G30" s="63">
        <v>3</v>
      </c>
      <c r="H30" s="62">
        <v>5</v>
      </c>
      <c r="I30" s="4">
        <v>2</v>
      </c>
      <c r="J30" s="4"/>
      <c r="K30" s="8">
        <f t="shared" si="8"/>
        <v>23190.348109090912</v>
      </c>
      <c r="L30" s="8">
        <f>IFERROR(VLOOKUP($B30,Tecnicos_CAP!$E$1:$N$20,10,0)*G30,)</f>
        <v>6957.104432727273</v>
      </c>
      <c r="M30" s="8">
        <f>IFERROR(VLOOKUP($B30,Tecnicos_CAP!$E$1:$N$20,10,0)*H30,)</f>
        <v>11595.174054545456</v>
      </c>
      <c r="N30" s="8">
        <f>IFERROR(VLOOKUP($B30,Tecnicos_CAP!$E$1:$N$20,10,0)*I30,)</f>
        <v>4638.069621818182</v>
      </c>
      <c r="O30" s="8">
        <f>IFERROR(VLOOKUP($B30,Tecnicos_CAP!$E$1:$N$20,10,0)*J30,)</f>
        <v>0</v>
      </c>
    </row>
    <row r="31" spans="1:15">
      <c r="A31" s="4"/>
      <c r="B31" s="4" t="str">
        <f t="shared" si="14"/>
        <v>D1 - Specialist in Physics</v>
      </c>
      <c r="C31" s="4"/>
      <c r="D31" s="4" t="s">
        <v>93</v>
      </c>
      <c r="E31" s="22"/>
      <c r="F31" t="s">
        <v>96</v>
      </c>
      <c r="G31" s="22"/>
      <c r="H31" s="4"/>
      <c r="I31" s="4">
        <v>2</v>
      </c>
      <c r="J31" s="4"/>
      <c r="K31" s="8">
        <f t="shared" si="8"/>
        <v>15131.084970909091</v>
      </c>
      <c r="L31" s="8">
        <f>IFERROR(VLOOKUP($B31,Tecnicos_CAP!$E$1:$N$20,10,0)*G31,)</f>
        <v>0</v>
      </c>
      <c r="M31" s="8">
        <f>IFERROR(VLOOKUP($B31,Tecnicos_CAP!$E$1:$N$20,10,0)*H31,)</f>
        <v>0</v>
      </c>
      <c r="N31" s="8">
        <f>IFERROR(VLOOKUP($B31,Tecnicos_CAP!$E$1:$N$20,10,0)*I31,)</f>
        <v>15131.084970909091</v>
      </c>
      <c r="O31" s="8">
        <f>IFERROR(VLOOKUP($B31,Tecnicos_CAP!$E$1:$N$20,10,0)*J31,)</f>
        <v>0</v>
      </c>
    </row>
    <row r="32" spans="1:15">
      <c r="A32" s="4"/>
      <c r="B32" s="4" t="str">
        <f t="shared" si="14"/>
        <v>C8 - Specialist in Optics and Instrumentation</v>
      </c>
      <c r="C32" s="4"/>
      <c r="D32" s="4" t="s">
        <v>93</v>
      </c>
      <c r="E32" s="22"/>
      <c r="F32" t="s">
        <v>96</v>
      </c>
      <c r="G32" s="22">
        <v>8</v>
      </c>
      <c r="H32" s="4">
        <v>11</v>
      </c>
      <c r="I32" s="4"/>
      <c r="J32" s="4"/>
      <c r="K32" s="8">
        <f t="shared" si="8"/>
        <v>27331.39636363637</v>
      </c>
      <c r="L32" s="8">
        <f>IFERROR(VLOOKUP($B32,Tecnicos_CAP!$E$1:$N$20,10,0)*G32,)</f>
        <v>11507.956363636365</v>
      </c>
      <c r="M32" s="8">
        <f>IFERROR(VLOOKUP($B32,Tecnicos_CAP!$E$1:$N$20,10,0)*H32,)</f>
        <v>15823.440000000002</v>
      </c>
      <c r="N32" s="8">
        <f>IFERROR(VLOOKUP($B32,Tecnicos_CAP!$E$1:$N$20,10,0)*I32,)</f>
        <v>0</v>
      </c>
      <c r="O32" s="8">
        <f>IFERROR(VLOOKUP($B32,Tecnicos_CAP!$E$1:$N$20,10,0)*J32,)</f>
        <v>0</v>
      </c>
    </row>
    <row r="33" spans="1:15" s="21" customFormat="1">
      <c r="A33" s="62"/>
      <c r="B33" s="62" t="s">
        <v>175</v>
      </c>
      <c r="C33" s="62"/>
      <c r="D33" s="62"/>
      <c r="E33" s="63"/>
      <c r="G33" s="63">
        <v>4</v>
      </c>
      <c r="H33" s="62">
        <v>4</v>
      </c>
      <c r="I33" s="62">
        <v>2</v>
      </c>
      <c r="J33" s="62"/>
      <c r="K33" s="64"/>
      <c r="L33" s="64">
        <f>IFERROR(VLOOKUP($B33,Tecnicos_CAP!$E$1:$N$20,10,0)*G33,)</f>
        <v>30262.169941818182</v>
      </c>
      <c r="M33" s="64">
        <f>IFERROR(VLOOKUP($B33,Tecnicos_CAP!$E$1:$N$20,10,0)*H33,)</f>
        <v>30262.169941818182</v>
      </c>
      <c r="N33" s="64">
        <f>IFERROR(VLOOKUP($B33,Tecnicos_CAP!$E$1:$N$20,10,0)*I33,)</f>
        <v>15131.084970909091</v>
      </c>
      <c r="O33" s="64">
        <f>IFERROR(VLOOKUP($B33,Tecnicos_CAP!$E$1:$N$20,10,0)*J33,)</f>
        <v>0</v>
      </c>
    </row>
    <row r="34" spans="1:15">
      <c r="A34" s="4"/>
      <c r="B34" s="4"/>
      <c r="C34" s="4"/>
      <c r="D34" s="4" t="s">
        <v>93</v>
      </c>
      <c r="E34" s="22"/>
      <c r="G34" s="22"/>
      <c r="H34" s="4"/>
      <c r="I34" s="4"/>
      <c r="J34" s="4"/>
      <c r="K34" s="8"/>
      <c r="L34" s="8">
        <f>IFERROR(VLOOKUP($B34,Tecnicos_CAP!$E$1:$N$20,10,0)*G34,)</f>
        <v>0</v>
      </c>
      <c r="M34" s="8">
        <f>IFERROR(VLOOKUP($B34,Tecnicos_CAP!$E$1:$N$20,10,0)*H34,)</f>
        <v>0</v>
      </c>
      <c r="N34" s="8">
        <f>IFERROR(VLOOKUP($B34,Tecnicos_CAP!$E$1:$N$20,10,0)*I34,)</f>
        <v>0</v>
      </c>
      <c r="O34" s="8">
        <f>IFERROR(VLOOKUP($B34,Tecnicos_CAP!$E$1:$N$20,10,0)*J34,)</f>
        <v>0</v>
      </c>
    </row>
    <row r="35" spans="1:15">
      <c r="A35" s="17"/>
      <c r="B35" s="17" t="str">
        <f t="shared" ref="B35:B43" si="15">B13</f>
        <v>C2 - Specialist in Electrochemistry</v>
      </c>
      <c r="C35" s="17"/>
      <c r="D35" s="17" t="s">
        <v>93</v>
      </c>
      <c r="E35" s="24"/>
      <c r="F35" s="25" t="s">
        <v>97</v>
      </c>
      <c r="G35" s="24"/>
      <c r="H35" s="17"/>
      <c r="I35" s="17"/>
      <c r="J35" s="17"/>
      <c r="K35" s="26">
        <f t="shared" ref="K35:K43" si="16">SUM(L35:O35)</f>
        <v>0</v>
      </c>
      <c r="L35" s="8">
        <f>IFERROR(VLOOKUP($B35,Tecnicos_CAP!$E$1:$N$20,10,0)*G35,)</f>
        <v>0</v>
      </c>
      <c r="M35" s="8">
        <f>IFERROR(VLOOKUP($B35,Tecnicos_CAP!$E$1:$N$20,10,0)*H35,)</f>
        <v>0</v>
      </c>
      <c r="N35" s="8">
        <f>IFERROR(VLOOKUP($B35,Tecnicos_CAP!$E$1:$N$20,10,0)*I35,)</f>
        <v>0</v>
      </c>
      <c r="O35" s="8">
        <f>IFERROR(VLOOKUP($B35,Tecnicos_CAP!$E$1:$N$20,10,0)*J35,)</f>
        <v>0</v>
      </c>
    </row>
    <row r="36" spans="1:15">
      <c r="A36" s="17"/>
      <c r="B36" s="17" t="str">
        <f t="shared" si="15"/>
        <v>C5 - Specialist in Chemical Functionalization and Optical Sensing</v>
      </c>
      <c r="C36" s="17"/>
      <c r="D36" s="17" t="s">
        <v>93</v>
      </c>
      <c r="E36" s="24"/>
      <c r="F36" s="25" t="s">
        <v>97</v>
      </c>
      <c r="G36" s="24"/>
      <c r="H36" s="17"/>
      <c r="I36" s="17"/>
      <c r="J36" s="17"/>
      <c r="K36" s="26">
        <f t="shared" si="16"/>
        <v>0</v>
      </c>
      <c r="L36" s="8">
        <f>IFERROR(VLOOKUP($B36,Tecnicos_CAP!$E$1:$N$20,10,0)*G36,)</f>
        <v>0</v>
      </c>
      <c r="M36" s="8">
        <f>IFERROR(VLOOKUP($B36,Tecnicos_CAP!$E$1:$N$20,10,0)*H36,)</f>
        <v>0</v>
      </c>
      <c r="N36" s="8">
        <f>IFERROR(VLOOKUP($B36,Tecnicos_CAP!$E$1:$N$20,10,0)*I36,)</f>
        <v>0</v>
      </c>
      <c r="O36" s="8">
        <f>IFERROR(VLOOKUP($B36,Tecnicos_CAP!$E$1:$N$20,10,0)*J36,)</f>
        <v>0</v>
      </c>
    </row>
    <row r="37" spans="1:15">
      <c r="A37" s="17"/>
      <c r="B37" s="17" t="str">
        <f t="shared" si="15"/>
        <v>C1 - Specialist in Signal Processing and Hardware Instrumentation Design</v>
      </c>
      <c r="C37" s="17"/>
      <c r="D37" s="17" t="s">
        <v>93</v>
      </c>
      <c r="E37" s="24"/>
      <c r="F37" s="25" t="s">
        <v>97</v>
      </c>
      <c r="G37" s="24">
        <v>1</v>
      </c>
      <c r="H37" s="17"/>
      <c r="I37" s="17"/>
      <c r="J37" s="17"/>
      <c r="K37" s="26">
        <f t="shared" si="16"/>
        <v>3831.4366363636368</v>
      </c>
      <c r="L37" s="8">
        <f>IFERROR(VLOOKUP($B37,Tecnicos_CAP!$E$1:$N$20,10,0)*G37,)</f>
        <v>3831.4366363636368</v>
      </c>
      <c r="M37" s="8">
        <f>IFERROR(VLOOKUP($B37,Tecnicos_CAP!$E$1:$N$20,10,0)*H37,)</f>
        <v>0</v>
      </c>
      <c r="N37" s="8">
        <f>IFERROR(VLOOKUP($B37,Tecnicos_CAP!$E$1:$N$20,10,0)*I37,)</f>
        <v>0</v>
      </c>
      <c r="O37" s="8">
        <f>IFERROR(VLOOKUP($B37,Tecnicos_CAP!$E$1:$N$20,10,0)*J37,)</f>
        <v>0</v>
      </c>
    </row>
    <row r="38" spans="1:15">
      <c r="A38" s="17"/>
      <c r="B38" s="35" t="str">
        <f t="shared" si="15"/>
        <v>C3 - Specialist in Physics Engineering</v>
      </c>
      <c r="C38" s="17"/>
      <c r="D38" s="17" t="s">
        <v>93</v>
      </c>
      <c r="E38" s="24"/>
      <c r="F38" s="25" t="s">
        <v>97</v>
      </c>
      <c r="G38" s="24">
        <v>1</v>
      </c>
      <c r="H38" s="17"/>
      <c r="I38" s="17"/>
      <c r="J38" s="17"/>
      <c r="K38" s="26">
        <f t="shared" si="16"/>
        <v>2646.1272727272731</v>
      </c>
      <c r="L38" s="8">
        <f>IFERROR(VLOOKUP($B38,Tecnicos_CAP!$E$1:$N$20,10,0)*G38,)</f>
        <v>2646.1272727272731</v>
      </c>
      <c r="M38" s="8">
        <f>IFERROR(VLOOKUP($B38,Tecnicos_CAP!$E$1:$N$20,10,0)*H38,)</f>
        <v>0</v>
      </c>
      <c r="N38" s="8">
        <f>IFERROR(VLOOKUP($B38,Tecnicos_CAP!$E$1:$N$20,10,0)*I38,)</f>
        <v>0</v>
      </c>
      <c r="O38" s="8">
        <f>IFERROR(VLOOKUP($B38,Tecnicos_CAP!$E$1:$N$20,10,0)*J38,)</f>
        <v>0</v>
      </c>
    </row>
    <row r="39" spans="1:15">
      <c r="A39" s="17"/>
      <c r="B39" s="17" t="str">
        <f t="shared" si="15"/>
        <v>C4 - Specialist in Optical Sensing Technologies</v>
      </c>
      <c r="C39" s="17"/>
      <c r="D39" s="17" t="s">
        <v>93</v>
      </c>
      <c r="E39" s="24"/>
      <c r="F39" s="25" t="s">
        <v>97</v>
      </c>
      <c r="G39" s="63"/>
      <c r="H39" s="17"/>
      <c r="I39" s="17"/>
      <c r="J39" s="17"/>
      <c r="K39" s="26">
        <f t="shared" si="16"/>
        <v>0</v>
      </c>
      <c r="L39" s="8">
        <f>IFERROR(VLOOKUP($B39,Tecnicos_CAP!$E$1:$N$20,10,0)*G39,)</f>
        <v>0</v>
      </c>
      <c r="M39" s="8">
        <f>IFERROR(VLOOKUP($B39,Tecnicos_CAP!$E$1:$N$20,10,0)*H39,)</f>
        <v>0</v>
      </c>
      <c r="N39" s="8">
        <f>IFERROR(VLOOKUP($B39,Tecnicos_CAP!$E$1:$N$20,10,0)*I39,)</f>
        <v>0</v>
      </c>
      <c r="O39" s="8">
        <f>IFERROR(VLOOKUP($B39,Tecnicos_CAP!$E$1:$N$20,10,0)*J39,)</f>
        <v>0</v>
      </c>
    </row>
    <row r="40" spans="1:15">
      <c r="A40" s="17"/>
      <c r="B40" s="17" t="str">
        <f t="shared" si="15"/>
        <v>C6 - Electronic Technician Specialist</v>
      </c>
      <c r="C40" s="17"/>
      <c r="D40" s="17" t="s">
        <v>93</v>
      </c>
      <c r="E40" s="24"/>
      <c r="F40" s="25" t="s">
        <v>97</v>
      </c>
      <c r="G40" s="24"/>
      <c r="H40" s="17"/>
      <c r="I40" s="17"/>
      <c r="J40" s="17"/>
      <c r="K40" s="26">
        <f t="shared" si="16"/>
        <v>0</v>
      </c>
      <c r="L40" s="8">
        <f>IFERROR(VLOOKUP($B40,Tecnicos_CAP!$E$1:$N$20,10,0)*G40,)</f>
        <v>0</v>
      </c>
      <c r="M40" s="8">
        <f>IFERROR(VLOOKUP($B40,Tecnicos_CAP!$E$1:$N$20,10,0)*H40,)</f>
        <v>0</v>
      </c>
      <c r="N40" s="8">
        <f>IFERROR(VLOOKUP($B40,Tecnicos_CAP!$E$1:$N$20,10,0)*I40,)</f>
        <v>0</v>
      </c>
      <c r="O40" s="8">
        <f>IFERROR(VLOOKUP($B40,Tecnicos_CAP!$E$1:$N$20,10,0)*J40,)</f>
        <v>0</v>
      </c>
    </row>
    <row r="41" spans="1:15">
      <c r="A41" s="17"/>
      <c r="B41" s="17" t="str">
        <f t="shared" si="15"/>
        <v xml:space="preserve">C7 - Specialist in Electronics </v>
      </c>
      <c r="C41" s="17"/>
      <c r="D41" s="17" t="s">
        <v>93</v>
      </c>
      <c r="E41" s="24"/>
      <c r="F41" s="25" t="s">
        <v>97</v>
      </c>
      <c r="G41" s="24"/>
      <c r="H41" s="17"/>
      <c r="I41" s="17"/>
      <c r="J41" s="17"/>
      <c r="K41" s="26">
        <f t="shared" si="16"/>
        <v>0</v>
      </c>
      <c r="L41" s="8">
        <f>IFERROR(VLOOKUP($B41,Tecnicos_CAP!$E$1:$N$20,10,0)*G41,)</f>
        <v>0</v>
      </c>
      <c r="M41" s="8">
        <f>IFERROR(VLOOKUP($B41,Tecnicos_CAP!$E$1:$N$20,10,0)*H41,)</f>
        <v>0</v>
      </c>
      <c r="N41" s="8">
        <f>IFERROR(VLOOKUP($B41,Tecnicos_CAP!$E$1:$N$20,10,0)*I41,)</f>
        <v>0</v>
      </c>
      <c r="O41" s="8">
        <f>IFERROR(VLOOKUP($B41,Tecnicos_CAP!$E$1:$N$20,10,0)*J41,)</f>
        <v>0</v>
      </c>
    </row>
    <row r="42" spans="1:15">
      <c r="A42" s="17"/>
      <c r="B42" s="17" t="str">
        <f t="shared" si="15"/>
        <v>D1 - Specialist in Physics</v>
      </c>
      <c r="C42" s="17"/>
      <c r="D42" s="17" t="s">
        <v>93</v>
      </c>
      <c r="E42" s="24"/>
      <c r="F42" s="25" t="s">
        <v>97</v>
      </c>
      <c r="G42" s="24"/>
      <c r="H42" s="17"/>
      <c r="I42" s="17"/>
      <c r="J42" s="17"/>
      <c r="K42" s="26">
        <f t="shared" si="16"/>
        <v>0</v>
      </c>
      <c r="L42" s="8">
        <f>IFERROR(VLOOKUP($B42,Tecnicos_CAP!$E$1:$N$20,10,0)*G42,)</f>
        <v>0</v>
      </c>
      <c r="M42" s="8">
        <f>IFERROR(VLOOKUP($B42,Tecnicos_CAP!$E$1:$N$20,10,0)*H42,)</f>
        <v>0</v>
      </c>
      <c r="N42" s="8">
        <f>IFERROR(VLOOKUP($B42,Tecnicos_CAP!$E$1:$N$20,10,0)*I42,)</f>
        <v>0</v>
      </c>
      <c r="O42" s="8">
        <f>IFERROR(VLOOKUP($B42,Tecnicos_CAP!$E$1:$N$20,10,0)*J42,)</f>
        <v>0</v>
      </c>
    </row>
    <row r="43" spans="1:15">
      <c r="A43" s="17"/>
      <c r="B43" s="17" t="str">
        <f t="shared" si="15"/>
        <v>C8 - Specialist in Optics and Instrumentation</v>
      </c>
      <c r="C43" s="17"/>
      <c r="D43" s="17" t="s">
        <v>93</v>
      </c>
      <c r="E43" s="24"/>
      <c r="F43" s="25" t="s">
        <v>97</v>
      </c>
      <c r="G43" s="24"/>
      <c r="H43" s="17"/>
      <c r="I43" s="17"/>
      <c r="J43" s="17"/>
      <c r="K43" s="26">
        <f t="shared" si="16"/>
        <v>0</v>
      </c>
      <c r="L43" s="8">
        <f>IFERROR(VLOOKUP($B43,Tecnicos_CAP!$E$1:$N$20,10,0)*G43,)</f>
        <v>0</v>
      </c>
      <c r="M43" s="8">
        <f>IFERROR(VLOOKUP($B43,Tecnicos_CAP!$E$1:$N$20,10,0)*H43,)</f>
        <v>0</v>
      </c>
      <c r="N43" s="8">
        <f>IFERROR(VLOOKUP($B43,Tecnicos_CAP!$E$1:$N$20,10,0)*I43,)</f>
        <v>0</v>
      </c>
      <c r="O43" s="8">
        <f>IFERROR(VLOOKUP($B43,Tecnicos_CAP!$E$1:$N$20,10,0)*J43,)</f>
        <v>0</v>
      </c>
    </row>
    <row r="44" spans="1:15">
      <c r="A44" s="17"/>
      <c r="B44" s="4" t="s">
        <v>175</v>
      </c>
      <c r="C44" s="17"/>
      <c r="D44" s="17"/>
      <c r="E44" s="24"/>
      <c r="F44" s="25"/>
      <c r="G44" s="25"/>
      <c r="H44" s="17"/>
      <c r="I44" s="25"/>
      <c r="J44" s="17"/>
      <c r="K44" s="26"/>
      <c r="L44" s="8"/>
      <c r="M44" s="8"/>
      <c r="N44" s="8"/>
      <c r="O44" s="8"/>
    </row>
    <row r="45" spans="1:15">
      <c r="A45" s="17"/>
      <c r="B45" s="17"/>
      <c r="C45" s="17"/>
      <c r="D45" s="17" t="s">
        <v>93</v>
      </c>
      <c r="E45" s="24"/>
      <c r="F45" s="25"/>
      <c r="G45" s="25"/>
      <c r="H45" s="17"/>
      <c r="I45" s="25"/>
      <c r="J45" s="17"/>
      <c r="K45" s="26"/>
      <c r="L45" s="8">
        <f>IFERROR(VLOOKUP($B45,Tecnicos_CAP!$E$1:$N$20,10,0)*G45,)</f>
        <v>0</v>
      </c>
      <c r="M45" s="8">
        <f>IFERROR(VLOOKUP($B45,Tecnicos_CAP!$E$1:$N$20,10,0)*H45,)</f>
        <v>0</v>
      </c>
      <c r="N45" s="8">
        <f>IFERROR(VLOOKUP($B45,Tecnicos_CAP!$E$1:$N$20,10,0)*I45,)</f>
        <v>0</v>
      </c>
      <c r="O45" s="8">
        <f>IFERROR(VLOOKUP($B45,Tecnicos_CAP!$E$1:$N$20,10,0)*J45,)</f>
        <v>0</v>
      </c>
    </row>
    <row r="46" spans="1:15">
      <c r="A46" s="4"/>
      <c r="B46" s="4" t="str">
        <f t="shared" ref="B46:B54" si="17">B24</f>
        <v>C2 - Specialist in Electrochemistry</v>
      </c>
      <c r="C46" s="4"/>
      <c r="D46" s="4" t="s">
        <v>93</v>
      </c>
      <c r="E46" s="22"/>
      <c r="F46" t="s">
        <v>98</v>
      </c>
      <c r="G46" s="4"/>
      <c r="H46" s="4"/>
      <c r="I46" s="63">
        <v>1</v>
      </c>
      <c r="J46" s="4"/>
      <c r="K46" s="8">
        <f t="shared" ref="K46:K54" si="18">SUM(L46:O46)</f>
        <v>3831.4366363636368</v>
      </c>
      <c r="L46" s="8">
        <f>IFERROR(VLOOKUP($B46,Tecnicos_CAP!$E$1:$N$20,10,0)*G46,)</f>
        <v>0</v>
      </c>
      <c r="M46" s="8">
        <f>IFERROR(VLOOKUP($B46,Tecnicos_CAP!$E$1:$N$20,10,0)*H46,)</f>
        <v>0</v>
      </c>
      <c r="N46" s="8">
        <f>IFERROR(VLOOKUP($B46,Tecnicos_CAP!$E$1:$N$20,10,0)*I46,)</f>
        <v>3831.4366363636368</v>
      </c>
      <c r="O46" s="8">
        <f>IFERROR(VLOOKUP($B46,Tecnicos_CAP!$E$1:$N$20,10,0)*J46,)</f>
        <v>0</v>
      </c>
    </row>
    <row r="47" spans="1:15">
      <c r="A47" s="4"/>
      <c r="B47" s="4" t="str">
        <f t="shared" si="17"/>
        <v>C5 - Specialist in Chemical Functionalization and Optical Sensing</v>
      </c>
      <c r="C47" s="4"/>
      <c r="D47" s="4" t="s">
        <v>93</v>
      </c>
      <c r="E47" s="22"/>
      <c r="F47" t="s">
        <v>98</v>
      </c>
      <c r="G47" s="4"/>
      <c r="H47" s="4"/>
      <c r="I47" s="63">
        <v>1.5</v>
      </c>
      <c r="J47" s="4"/>
      <c r="K47" s="8">
        <f t="shared" si="18"/>
        <v>5747.1549545454554</v>
      </c>
      <c r="L47" s="8">
        <f>IFERROR(VLOOKUP($B47,Tecnicos_CAP!$E$1:$N$20,10,0)*G47,)</f>
        <v>0</v>
      </c>
      <c r="M47" s="8">
        <f>IFERROR(VLOOKUP($B47,Tecnicos_CAP!$E$1:$N$20,10,0)*H47,)</f>
        <v>0</v>
      </c>
      <c r="N47" s="8">
        <f>IFERROR(VLOOKUP($B47,Tecnicos_CAP!$E$1:$N$20,10,0)*I47,)</f>
        <v>5747.1549545454554</v>
      </c>
      <c r="O47" s="8">
        <f>IFERROR(VLOOKUP($B47,Tecnicos_CAP!$E$1:$N$20,10,0)*J47,)</f>
        <v>0</v>
      </c>
    </row>
    <row r="48" spans="1:15">
      <c r="A48" s="4"/>
      <c r="B48" s="4" t="str">
        <f t="shared" si="17"/>
        <v>C1 - Specialist in Signal Processing and Hardware Instrumentation Design</v>
      </c>
      <c r="C48" s="4"/>
      <c r="D48" s="4" t="s">
        <v>93</v>
      </c>
      <c r="E48" s="22"/>
      <c r="F48" t="s">
        <v>98</v>
      </c>
      <c r="G48" s="4"/>
      <c r="H48" s="4"/>
      <c r="I48" s="22">
        <v>3</v>
      </c>
      <c r="J48" s="4"/>
      <c r="K48" s="8">
        <f t="shared" si="18"/>
        <v>11494.309909090911</v>
      </c>
      <c r="L48" s="8">
        <f>IFERROR(VLOOKUP($B48,Tecnicos_CAP!$E$1:$N$20,10,0)*G48,)</f>
        <v>0</v>
      </c>
      <c r="M48" s="8">
        <f>IFERROR(VLOOKUP($B48,Tecnicos_CAP!$E$1:$N$20,10,0)*H48,)</f>
        <v>0</v>
      </c>
      <c r="N48" s="8">
        <f>IFERROR(VLOOKUP($B48,Tecnicos_CAP!$E$1:$N$20,10,0)*I48,)</f>
        <v>11494.309909090911</v>
      </c>
      <c r="O48" s="8">
        <f>IFERROR(VLOOKUP($B48,Tecnicos_CAP!$E$1:$N$20,10,0)*J48,)</f>
        <v>0</v>
      </c>
    </row>
    <row r="49" spans="1:15">
      <c r="A49" s="4"/>
      <c r="B49" s="4" t="str">
        <f t="shared" si="17"/>
        <v>C3 - Specialist in Physics Engineering</v>
      </c>
      <c r="C49" s="4"/>
      <c r="D49" s="4" t="s">
        <v>93</v>
      </c>
      <c r="E49" s="22"/>
      <c r="F49" t="s">
        <v>98</v>
      </c>
      <c r="G49" s="4"/>
      <c r="H49" s="4"/>
      <c r="I49" s="22">
        <v>6</v>
      </c>
      <c r="J49" s="4"/>
      <c r="K49" s="8">
        <f t="shared" si="18"/>
        <v>15876.763636363637</v>
      </c>
      <c r="L49" s="8">
        <f>IFERROR(VLOOKUP($B49,Tecnicos_CAP!$E$1:$N$20,10,0)*G49,)</f>
        <v>0</v>
      </c>
      <c r="M49" s="8">
        <f>IFERROR(VLOOKUP($B49,Tecnicos_CAP!$E$1:$N$20,10,0)*H49,)</f>
        <v>0</v>
      </c>
      <c r="N49" s="8">
        <f>IFERROR(VLOOKUP($B49,Tecnicos_CAP!$E$1:$N$20,10,0)*I49,)</f>
        <v>15876.763636363637</v>
      </c>
      <c r="O49" s="8">
        <f>IFERROR(VLOOKUP($B49,Tecnicos_CAP!$E$1:$N$20,10,0)*J49,)</f>
        <v>0</v>
      </c>
    </row>
    <row r="50" spans="1:15">
      <c r="A50" s="4"/>
      <c r="B50" s="4" t="str">
        <f t="shared" si="17"/>
        <v>C4 - Specialist in Optical Sensing Technologies</v>
      </c>
      <c r="C50" s="4"/>
      <c r="D50" s="4" t="s">
        <v>93</v>
      </c>
      <c r="E50" s="22"/>
      <c r="F50" t="s">
        <v>98</v>
      </c>
      <c r="G50" s="4"/>
      <c r="H50" s="4"/>
      <c r="I50" s="63">
        <v>1</v>
      </c>
      <c r="J50" s="4"/>
      <c r="K50" s="8">
        <f t="shared" si="18"/>
        <v>6856.1935909090907</v>
      </c>
      <c r="L50" s="8">
        <f>IFERROR(VLOOKUP($B50,Tecnicos_CAP!$E$1:$N$20,10,0)*G50,)</f>
        <v>0</v>
      </c>
      <c r="M50" s="8">
        <f>IFERROR(VLOOKUP($B50,Tecnicos_CAP!$E$1:$N$20,10,0)*H50,)</f>
        <v>0</v>
      </c>
      <c r="N50" s="8">
        <f>IFERROR(VLOOKUP($B50,Tecnicos_CAP!$E$1:$N$20,10,0)*I50,)</f>
        <v>6856.1935909090907</v>
      </c>
      <c r="O50" s="8">
        <f>IFERROR(VLOOKUP($B50,Tecnicos_CAP!$E$1:$N$20,10,0)*J50,)</f>
        <v>0</v>
      </c>
    </row>
    <row r="51" spans="1:15">
      <c r="A51" s="4"/>
      <c r="B51" s="4" t="str">
        <f t="shared" si="17"/>
        <v>C6 - Electronic Technician Specialist</v>
      </c>
      <c r="C51" s="4"/>
      <c r="D51" s="4" t="s">
        <v>93</v>
      </c>
      <c r="E51" s="22"/>
      <c r="F51" t="s">
        <v>98</v>
      </c>
      <c r="G51" s="4"/>
      <c r="H51" s="4"/>
      <c r="I51" s="63">
        <v>2</v>
      </c>
      <c r="J51" s="4"/>
      <c r="K51" s="8">
        <f t="shared" si="18"/>
        <v>3932.331912727273</v>
      </c>
      <c r="L51" s="8">
        <f>IFERROR(VLOOKUP($B51,Tecnicos_CAP!$E$1:$N$20,10,0)*G51,)</f>
        <v>0</v>
      </c>
      <c r="M51" s="8">
        <f>IFERROR(VLOOKUP($B51,Tecnicos_CAP!$E$1:$N$20,10,0)*H51,)</f>
        <v>0</v>
      </c>
      <c r="N51" s="8">
        <f>IFERROR(VLOOKUP($B51,Tecnicos_CAP!$E$1:$N$20,10,0)*I51,)</f>
        <v>3932.331912727273</v>
      </c>
      <c r="O51" s="8">
        <f>IFERROR(VLOOKUP($B51,Tecnicos_CAP!$E$1:$N$20,10,0)*J51,)</f>
        <v>0</v>
      </c>
    </row>
    <row r="52" spans="1:15">
      <c r="A52" s="4"/>
      <c r="B52" s="4" t="str">
        <f t="shared" si="17"/>
        <v xml:space="preserve">C7 - Specialist in Electronics </v>
      </c>
      <c r="C52" s="4"/>
      <c r="D52" s="4" t="s">
        <v>93</v>
      </c>
      <c r="E52" s="22"/>
      <c r="F52" t="s">
        <v>98</v>
      </c>
      <c r="G52" s="4"/>
      <c r="H52" s="4"/>
      <c r="I52" s="63">
        <v>2</v>
      </c>
      <c r="J52" s="4"/>
      <c r="K52" s="8">
        <f t="shared" si="18"/>
        <v>4638.069621818182</v>
      </c>
      <c r="L52" s="8">
        <f>IFERROR(VLOOKUP($B52,Tecnicos_CAP!$E$1:$N$20,10,0)*G52,)</f>
        <v>0</v>
      </c>
      <c r="M52" s="8">
        <f>IFERROR(VLOOKUP($B52,Tecnicos_CAP!$E$1:$N$20,10,0)*H52,)</f>
        <v>0</v>
      </c>
      <c r="N52" s="8">
        <f>IFERROR(VLOOKUP($B52,Tecnicos_CAP!$E$1:$N$20,10,0)*I52,)</f>
        <v>4638.069621818182</v>
      </c>
      <c r="O52" s="8">
        <f>IFERROR(VLOOKUP($B52,Tecnicos_CAP!$E$1:$N$20,10,0)*J52,)</f>
        <v>0</v>
      </c>
    </row>
    <row r="53" spans="1:15">
      <c r="A53" s="4"/>
      <c r="B53" s="4" t="str">
        <f t="shared" si="17"/>
        <v>D1 - Specialist in Physics</v>
      </c>
      <c r="C53" s="4"/>
      <c r="D53" s="4" t="s">
        <v>93</v>
      </c>
      <c r="E53" s="22"/>
      <c r="F53" t="s">
        <v>98</v>
      </c>
      <c r="G53" s="4"/>
      <c r="H53" s="4"/>
      <c r="I53" s="22">
        <v>2</v>
      </c>
      <c r="J53" s="4"/>
      <c r="K53" s="8">
        <f t="shared" si="18"/>
        <v>15131.084970909091</v>
      </c>
      <c r="L53" s="8">
        <f>IFERROR(VLOOKUP($B53,Tecnicos_CAP!$E$1:$N$20,10,0)*G53,)</f>
        <v>0</v>
      </c>
      <c r="M53" s="8">
        <f>IFERROR(VLOOKUP($B53,Tecnicos_CAP!$E$1:$N$20,10,0)*H53,)</f>
        <v>0</v>
      </c>
      <c r="N53" s="8">
        <f>IFERROR(VLOOKUP($B53,Tecnicos_CAP!$E$1:$N$20,10,0)*I53,)</f>
        <v>15131.084970909091</v>
      </c>
      <c r="O53" s="8">
        <f>IFERROR(VLOOKUP($B53,Tecnicos_CAP!$E$1:$N$20,10,0)*J53,)</f>
        <v>0</v>
      </c>
    </row>
    <row r="54" spans="1:15">
      <c r="A54" s="4"/>
      <c r="B54" s="4" t="str">
        <f t="shared" si="17"/>
        <v>C8 - Specialist in Optics and Instrumentation</v>
      </c>
      <c r="C54" s="4"/>
      <c r="D54" s="4" t="s">
        <v>93</v>
      </c>
      <c r="E54" s="22"/>
      <c r="F54" t="s">
        <v>98</v>
      </c>
      <c r="G54" s="4"/>
      <c r="H54" s="4"/>
      <c r="I54" s="22">
        <v>3</v>
      </c>
      <c r="J54" s="4"/>
      <c r="K54" s="8">
        <f t="shared" si="18"/>
        <v>4315.4836363636368</v>
      </c>
      <c r="L54" s="8">
        <f>IFERROR(VLOOKUP($B54,Tecnicos_CAP!$E$1:$N$20,10,0)*G54,)</f>
        <v>0</v>
      </c>
      <c r="M54" s="8">
        <f>IFERROR(VLOOKUP($B54,Tecnicos_CAP!$E$1:$N$20,10,0)*H54,)</f>
        <v>0</v>
      </c>
      <c r="N54" s="8">
        <f>IFERROR(VLOOKUP($B54,Tecnicos_CAP!$E$1:$N$20,10,0)*I54,)</f>
        <v>4315.4836363636368</v>
      </c>
      <c r="O54" s="8">
        <f>IFERROR(VLOOKUP($B54,Tecnicos_CAP!$E$1:$N$20,10,0)*J54,)</f>
        <v>0</v>
      </c>
    </row>
    <row r="55" spans="1:15">
      <c r="A55" s="4"/>
      <c r="B55" s="4" t="s">
        <v>175</v>
      </c>
      <c r="C55" s="4"/>
      <c r="D55" s="4" t="s">
        <v>93</v>
      </c>
      <c r="E55" s="22"/>
      <c r="H55" s="4"/>
      <c r="I55" s="65">
        <v>2</v>
      </c>
      <c r="J55" s="4"/>
      <c r="K55" s="8">
        <f t="shared" ref="K55" si="19">SUM(L55:O55)</f>
        <v>15131.084970909091</v>
      </c>
      <c r="L55" s="8">
        <f>IFERROR(VLOOKUP($B55,Tecnicos_CAP!$E$1:$N$20,10,0)*G55,)</f>
        <v>0</v>
      </c>
      <c r="M55" s="8">
        <f>IFERROR(VLOOKUP($B55,Tecnicos_CAP!$E$1:$N$20,10,0)*H55,)</f>
        <v>0</v>
      </c>
      <c r="N55" s="8">
        <f>IFERROR(VLOOKUP($B55,Tecnicos_CAP!$E$1:$N$20,10,0)*I55,)</f>
        <v>15131.084970909091</v>
      </c>
      <c r="O55" s="8">
        <f>IFERROR(VLOOKUP($B55,Tecnicos_CAP!$E$1:$N$20,10,0)*J55,)</f>
        <v>0</v>
      </c>
    </row>
    <row r="56" spans="1:15">
      <c r="A56" s="4"/>
      <c r="B56" s="4"/>
      <c r="C56" s="4"/>
      <c r="D56" s="4" t="s">
        <v>93</v>
      </c>
      <c r="E56" s="22"/>
      <c r="H56" s="4"/>
      <c r="J56" s="4"/>
      <c r="K56" s="8"/>
      <c r="L56" s="8"/>
      <c r="M56" s="8"/>
      <c r="N56" s="8"/>
      <c r="O56" s="8"/>
    </row>
    <row r="57" spans="1:15">
      <c r="A57" s="17"/>
      <c r="B57" s="17" t="str">
        <f t="shared" ref="B57:B65" si="20">B35</f>
        <v>C2 - Specialist in Electrochemistry</v>
      </c>
      <c r="C57" s="17"/>
      <c r="D57" s="17" t="s">
        <v>93</v>
      </c>
      <c r="E57" s="24"/>
      <c r="F57" s="25" t="s">
        <v>99</v>
      </c>
      <c r="G57" s="24"/>
      <c r="H57" s="17">
        <v>0.5</v>
      </c>
      <c r="I57" s="17">
        <v>1</v>
      </c>
      <c r="J57" s="17"/>
      <c r="K57" s="26">
        <f t="shared" ref="K57:K65" si="21">SUM(L57:O57)</f>
        <v>5747.1549545454554</v>
      </c>
      <c r="L57" s="8">
        <f>IFERROR(VLOOKUP($B57,Tecnicos_CAP!$E$1:$N$20,10,0)*G57,)</f>
        <v>0</v>
      </c>
      <c r="M57" s="8">
        <f>IFERROR(VLOOKUP($B57,Tecnicos_CAP!$E$1:$N$20,10,0)*H57,)</f>
        <v>1915.7183181818184</v>
      </c>
      <c r="N57" s="8">
        <f>IFERROR(VLOOKUP($B57,Tecnicos_CAP!$E$1:$N$20,10,0)*I57,)</f>
        <v>3831.4366363636368</v>
      </c>
      <c r="O57" s="8">
        <f>IFERROR(VLOOKUP($B57,Tecnicos_CAP!$E$1:$N$20,10,0)*J57,)</f>
        <v>0</v>
      </c>
    </row>
    <row r="58" spans="1:15">
      <c r="A58" s="17"/>
      <c r="B58" s="17" t="str">
        <f t="shared" si="20"/>
        <v>C5 - Specialist in Chemical Functionalization and Optical Sensing</v>
      </c>
      <c r="C58" s="17"/>
      <c r="D58" s="17" t="s">
        <v>93</v>
      </c>
      <c r="E58" s="24"/>
      <c r="F58" s="25" t="s">
        <v>99</v>
      </c>
      <c r="G58" s="24">
        <v>0.5</v>
      </c>
      <c r="H58" s="17"/>
      <c r="I58" s="17"/>
      <c r="J58" s="17"/>
      <c r="K58" s="26">
        <f t="shared" si="21"/>
        <v>1915.7183181818184</v>
      </c>
      <c r="L58" s="8">
        <f>IFERROR(VLOOKUP($B58,Tecnicos_CAP!$E$1:$N$20,10,0)*G58,)</f>
        <v>1915.7183181818184</v>
      </c>
      <c r="M58" s="8">
        <f>IFERROR(VLOOKUP($B58,Tecnicos_CAP!$E$1:$N$20,10,0)*H58,)</f>
        <v>0</v>
      </c>
      <c r="N58" s="8">
        <f>IFERROR(VLOOKUP($B58,Tecnicos_CAP!$E$1:$N$20,10,0)*I58,)</f>
        <v>0</v>
      </c>
      <c r="O58" s="8">
        <f>IFERROR(VLOOKUP($B58,Tecnicos_CAP!$E$1:$N$20,10,0)*J58,)</f>
        <v>0</v>
      </c>
    </row>
    <row r="59" spans="1:15">
      <c r="A59" s="17"/>
      <c r="B59" s="17" t="str">
        <f t="shared" si="20"/>
        <v>C1 - Specialist in Signal Processing and Hardware Instrumentation Design</v>
      </c>
      <c r="C59" s="17"/>
      <c r="D59" s="17" t="s">
        <v>93</v>
      </c>
      <c r="E59" s="24"/>
      <c r="F59" s="25" t="s">
        <v>99</v>
      </c>
      <c r="G59" s="24">
        <v>1</v>
      </c>
      <c r="H59" s="17"/>
      <c r="I59" s="17">
        <v>1</v>
      </c>
      <c r="J59" s="17"/>
      <c r="K59" s="26">
        <f t="shared" si="21"/>
        <v>7662.8732727272736</v>
      </c>
      <c r="L59" s="8">
        <f>IFERROR(VLOOKUP($B59,Tecnicos_CAP!$E$1:$N$20,10,0)*G59,)</f>
        <v>3831.4366363636368</v>
      </c>
      <c r="M59" s="8">
        <f>IFERROR(VLOOKUP($B59,Tecnicos_CAP!$E$1:$N$20,10,0)*H59,)</f>
        <v>0</v>
      </c>
      <c r="N59" s="8">
        <f>IFERROR(VLOOKUP($B59,Tecnicos_CAP!$E$1:$N$20,10,0)*I59,)</f>
        <v>3831.4366363636368</v>
      </c>
      <c r="O59" s="8">
        <f>IFERROR(VLOOKUP($B59,Tecnicos_CAP!$E$1:$N$20,10,0)*J59,)</f>
        <v>0</v>
      </c>
    </row>
    <row r="60" spans="1:15">
      <c r="A60" s="17"/>
      <c r="B60" s="35" t="str">
        <f t="shared" si="20"/>
        <v>C3 - Specialist in Physics Engineering</v>
      </c>
      <c r="C60" s="17"/>
      <c r="D60" s="17" t="s">
        <v>93</v>
      </c>
      <c r="E60" s="24"/>
      <c r="F60" s="25" t="s">
        <v>99</v>
      </c>
      <c r="G60" s="24">
        <v>1</v>
      </c>
      <c r="H60" s="17"/>
      <c r="I60" s="17">
        <v>2</v>
      </c>
      <c r="J60" s="17"/>
      <c r="K60" s="26">
        <f t="shared" si="21"/>
        <v>7938.3818181818187</v>
      </c>
      <c r="L60" s="8">
        <f>IFERROR(VLOOKUP($B60,Tecnicos_CAP!$E$1:$N$20,10,0)*G60,)</f>
        <v>2646.1272727272731</v>
      </c>
      <c r="M60" s="8">
        <f>IFERROR(VLOOKUP($B60,Tecnicos_CAP!$E$1:$N$20,10,0)*H60,)</f>
        <v>0</v>
      </c>
      <c r="N60" s="8">
        <f>IFERROR(VLOOKUP($B60,Tecnicos_CAP!$E$1:$N$20,10,0)*I60,)</f>
        <v>5292.2545454545461</v>
      </c>
      <c r="O60" s="8">
        <f>IFERROR(VLOOKUP($B60,Tecnicos_CAP!$E$1:$N$20,10,0)*J60,)</f>
        <v>0</v>
      </c>
    </row>
    <row r="61" spans="1:15">
      <c r="A61" s="17"/>
      <c r="B61" s="17" t="str">
        <f t="shared" si="20"/>
        <v>C4 - Specialist in Optical Sensing Technologies</v>
      </c>
      <c r="C61" s="17"/>
      <c r="D61" s="17" t="s">
        <v>93</v>
      </c>
      <c r="E61" s="24"/>
      <c r="F61" s="25" t="s">
        <v>99</v>
      </c>
      <c r="G61" s="24"/>
      <c r="H61" s="17">
        <v>0.5</v>
      </c>
      <c r="I61" s="17"/>
      <c r="J61" s="17"/>
      <c r="K61" s="26">
        <f t="shared" si="21"/>
        <v>3428.0967954545454</v>
      </c>
      <c r="L61" s="8">
        <f>IFERROR(VLOOKUP($B61,Tecnicos_CAP!$E$1:$N$20,10,0)*G61,)</f>
        <v>0</v>
      </c>
      <c r="M61" s="8">
        <f>IFERROR(VLOOKUP($B61,Tecnicos_CAP!$E$1:$N$20,10,0)*H61,)</f>
        <v>3428.0967954545454</v>
      </c>
      <c r="N61" s="8">
        <f>IFERROR(VLOOKUP($B61,Tecnicos_CAP!$E$1:$N$20,10,0)*I61,)</f>
        <v>0</v>
      </c>
      <c r="O61" s="8">
        <f>IFERROR(VLOOKUP($B61,Tecnicos_CAP!$E$1:$N$20,10,0)*J61,)</f>
        <v>0</v>
      </c>
    </row>
    <row r="62" spans="1:15">
      <c r="A62" s="17"/>
      <c r="B62" s="17" t="str">
        <f t="shared" si="20"/>
        <v>C6 - Electronic Technician Specialist</v>
      </c>
      <c r="C62" s="17"/>
      <c r="D62" s="17" t="s">
        <v>93</v>
      </c>
      <c r="E62" s="24"/>
      <c r="F62" s="25" t="s">
        <v>99</v>
      </c>
      <c r="G62" s="24">
        <v>0</v>
      </c>
      <c r="H62" s="17"/>
      <c r="I62" s="17"/>
      <c r="J62" s="17"/>
      <c r="K62" s="26">
        <f t="shared" si="21"/>
        <v>0</v>
      </c>
      <c r="L62" s="8">
        <f>IFERROR(VLOOKUP($B62,Tecnicos_CAP!$E$1:$N$20,10,0)*G62,)</f>
        <v>0</v>
      </c>
      <c r="M62" s="8">
        <f>IFERROR(VLOOKUP($B62,Tecnicos_CAP!$E$1:$N$20,10,0)*H62,)</f>
        <v>0</v>
      </c>
      <c r="N62" s="8">
        <f>IFERROR(VLOOKUP($B62,Tecnicos_CAP!$E$1:$N$20,10,0)*I62,)</f>
        <v>0</v>
      </c>
      <c r="O62" s="8">
        <f>IFERROR(VLOOKUP($B62,Tecnicos_CAP!$E$1:$N$20,10,0)*J62,)</f>
        <v>0</v>
      </c>
    </row>
    <row r="63" spans="1:15">
      <c r="A63" s="17"/>
      <c r="B63" s="17" t="str">
        <f t="shared" si="20"/>
        <v xml:space="preserve">C7 - Specialist in Electronics </v>
      </c>
      <c r="C63" s="17"/>
      <c r="D63" s="17" t="s">
        <v>93</v>
      </c>
      <c r="E63" s="24"/>
      <c r="F63" s="25" t="s">
        <v>99</v>
      </c>
      <c r="G63" s="24">
        <v>0</v>
      </c>
      <c r="H63" s="17"/>
      <c r="I63" s="17"/>
      <c r="J63" s="17"/>
      <c r="K63" s="26">
        <f t="shared" si="21"/>
        <v>0</v>
      </c>
      <c r="L63" s="8">
        <f>IFERROR(VLOOKUP($B63,Tecnicos_CAP!$E$1:$N$20,10,0)*G63,)</f>
        <v>0</v>
      </c>
      <c r="M63" s="8">
        <f>IFERROR(VLOOKUP($B63,Tecnicos_CAP!$E$1:$N$20,10,0)*H63,)</f>
        <v>0</v>
      </c>
      <c r="N63" s="8">
        <f>IFERROR(VLOOKUP($B63,Tecnicos_CAP!$E$1:$N$20,10,0)*I63,)</f>
        <v>0</v>
      </c>
      <c r="O63" s="8">
        <f>IFERROR(VLOOKUP($B63,Tecnicos_CAP!$E$1:$N$20,10,0)*J63,)</f>
        <v>0</v>
      </c>
    </row>
    <row r="64" spans="1:15">
      <c r="A64" s="17"/>
      <c r="B64" s="17" t="str">
        <f t="shared" si="20"/>
        <v>D1 - Specialist in Physics</v>
      </c>
      <c r="C64" s="17"/>
      <c r="D64" s="17" t="s">
        <v>93</v>
      </c>
      <c r="E64" s="24"/>
      <c r="F64" s="25" t="s">
        <v>99</v>
      </c>
      <c r="G64" s="24"/>
      <c r="H64" s="17"/>
      <c r="I64" s="17">
        <v>0.5</v>
      </c>
      <c r="J64" s="17"/>
      <c r="K64" s="26">
        <f t="shared" si="21"/>
        <v>3782.7712427272727</v>
      </c>
      <c r="L64" s="8">
        <f>IFERROR(VLOOKUP($B64,Tecnicos_CAP!$E$1:$N$20,10,0)*G64,)</f>
        <v>0</v>
      </c>
      <c r="M64" s="8">
        <f>IFERROR(VLOOKUP($B64,Tecnicos_CAP!$E$1:$N$20,10,0)*H64,)</f>
        <v>0</v>
      </c>
      <c r="N64" s="8">
        <f>IFERROR(VLOOKUP($B64,Tecnicos_CAP!$E$1:$N$20,10,0)*I64,)</f>
        <v>3782.7712427272727</v>
      </c>
      <c r="O64" s="8">
        <f>IFERROR(VLOOKUP($B64,Tecnicos_CAP!$E$1:$N$20,10,0)*J64,)</f>
        <v>0</v>
      </c>
    </row>
    <row r="65" spans="1:15">
      <c r="A65" s="17"/>
      <c r="B65" s="17" t="str">
        <f t="shared" si="20"/>
        <v>C8 - Specialist in Optics and Instrumentation</v>
      </c>
      <c r="C65" s="17"/>
      <c r="D65" s="17" t="s">
        <v>93</v>
      </c>
      <c r="E65" s="24"/>
      <c r="F65" s="25" t="s">
        <v>99</v>
      </c>
      <c r="G65" s="24"/>
      <c r="H65" s="17"/>
      <c r="I65" s="17"/>
      <c r="J65" s="17"/>
      <c r="K65" s="26">
        <f t="shared" si="21"/>
        <v>0</v>
      </c>
      <c r="L65" s="8">
        <f>IFERROR(VLOOKUP($B65,Tecnicos_CAP!$E$1:$N$20,10,0)*G65,)</f>
        <v>0</v>
      </c>
      <c r="M65" s="8">
        <f>IFERROR(VLOOKUP($B65,Tecnicos_CAP!$E$1:$N$20,10,0)*H65,)</f>
        <v>0</v>
      </c>
      <c r="N65" s="8">
        <f>IFERROR(VLOOKUP($B65,Tecnicos_CAP!$E$1:$N$20,10,0)*I65,)</f>
        <v>0</v>
      </c>
      <c r="O65" s="8">
        <f>IFERROR(VLOOKUP($B65,Tecnicos_CAP!$E$1:$N$20,10,0)*J65,)</f>
        <v>0</v>
      </c>
    </row>
    <row r="66" spans="1:15">
      <c r="A66" s="17"/>
      <c r="B66" s="4" t="s">
        <v>175</v>
      </c>
      <c r="C66" s="17"/>
      <c r="D66" s="17"/>
      <c r="E66" s="24"/>
      <c r="F66" s="25"/>
      <c r="G66" s="25"/>
      <c r="H66" s="25"/>
      <c r="I66" s="17"/>
      <c r="J66" s="17"/>
      <c r="K66" s="26"/>
      <c r="L66" s="8"/>
      <c r="M66" s="8"/>
      <c r="N66" s="8"/>
      <c r="O66" s="8"/>
    </row>
    <row r="67" spans="1:15">
      <c r="A67" s="17"/>
      <c r="B67" s="17"/>
      <c r="C67" s="17"/>
      <c r="D67" s="17" t="s">
        <v>93</v>
      </c>
      <c r="E67" s="24"/>
      <c r="F67" s="25"/>
      <c r="G67" s="25"/>
      <c r="H67" s="25"/>
      <c r="I67" s="17"/>
      <c r="J67" s="17"/>
      <c r="K67" s="26"/>
      <c r="L67" s="8">
        <f>IFERROR(VLOOKUP($B67,Tecnicos_CAP!$E$1:$N$20,10,0)*G67,)</f>
        <v>0</v>
      </c>
      <c r="M67" s="8">
        <f>IFERROR(VLOOKUP($B67,Tecnicos_CAP!$E$1:$N$20,10,0)*H67,)</f>
        <v>0</v>
      </c>
      <c r="N67" s="8">
        <f>IFERROR(VLOOKUP($B67,Tecnicos_CAP!$E$1:$N$20,10,0)*I67,)</f>
        <v>0</v>
      </c>
      <c r="O67" s="8">
        <f>IFERROR(VLOOKUP($B67,Tecnicos_CAP!$E$1:$N$20,10,0)*J67,)</f>
        <v>0</v>
      </c>
    </row>
    <row r="68" spans="1:15">
      <c r="A68" s="4"/>
      <c r="B68" s="4" t="str">
        <f t="shared" ref="B68:B76" si="22">B57</f>
        <v>C2 - Specialist in Electrochemistry</v>
      </c>
      <c r="C68" s="4"/>
      <c r="D68" s="4" t="s">
        <v>93</v>
      </c>
      <c r="E68" s="22"/>
      <c r="F68" t="s">
        <v>100</v>
      </c>
      <c r="G68" s="4">
        <v>0</v>
      </c>
      <c r="H68" s="22">
        <v>0.5</v>
      </c>
      <c r="I68" s="4">
        <v>0.5</v>
      </c>
      <c r="J68" s="4"/>
      <c r="K68" s="8">
        <f t="shared" ref="K68:K76" si="23">SUM(L68:O68)</f>
        <v>3831.4366363636368</v>
      </c>
      <c r="L68" s="8">
        <f>IFERROR(VLOOKUP($B68,Tecnicos_CAP!$E$1:$N$20,10,0)*G68,)</f>
        <v>0</v>
      </c>
      <c r="M68" s="8">
        <f>IFERROR(VLOOKUP($B68,Tecnicos_CAP!$E$1:$N$20,10,0)*H68,)</f>
        <v>1915.7183181818184</v>
      </c>
      <c r="N68" s="8">
        <f>IFERROR(VLOOKUP($B68,Tecnicos_CAP!$E$1:$N$20,10,0)*I68,)</f>
        <v>1915.7183181818184</v>
      </c>
      <c r="O68" s="8">
        <f>IFERROR(VLOOKUP($B68,Tecnicos_CAP!$E$1:$N$20,10,0)*J68,)</f>
        <v>0</v>
      </c>
    </row>
    <row r="69" spans="1:15">
      <c r="A69" s="4"/>
      <c r="B69" s="4" t="str">
        <f t="shared" si="22"/>
        <v>C5 - Specialist in Chemical Functionalization and Optical Sensing</v>
      </c>
      <c r="C69" s="4"/>
      <c r="D69" s="4" t="s">
        <v>93</v>
      </c>
      <c r="E69" s="22"/>
      <c r="F69" t="s">
        <v>100</v>
      </c>
      <c r="G69" s="4">
        <v>0.5</v>
      </c>
      <c r="H69" s="22">
        <v>0.5</v>
      </c>
      <c r="I69" s="4"/>
      <c r="J69" s="4"/>
      <c r="K69" s="8">
        <f t="shared" si="23"/>
        <v>3831.4366363636368</v>
      </c>
      <c r="L69" s="8">
        <f>IFERROR(VLOOKUP($B69,Tecnicos_CAP!$E$1:$N$20,10,0)*G69,)</f>
        <v>1915.7183181818184</v>
      </c>
      <c r="M69" s="8">
        <f>IFERROR(VLOOKUP($B69,Tecnicos_CAP!$E$1:$N$20,10,0)*H69,)</f>
        <v>1915.7183181818184</v>
      </c>
      <c r="N69" s="8">
        <f>IFERROR(VLOOKUP($B69,Tecnicos_CAP!$E$1:$N$20,10,0)*I69,)</f>
        <v>0</v>
      </c>
      <c r="O69" s="8">
        <f>IFERROR(VLOOKUP($B69,Tecnicos_CAP!$E$1:$N$20,10,0)*J69,)</f>
        <v>0</v>
      </c>
    </row>
    <row r="70" spans="1:15">
      <c r="A70" s="4"/>
      <c r="B70" s="4" t="str">
        <f t="shared" si="22"/>
        <v>C1 - Specialist in Signal Processing and Hardware Instrumentation Design</v>
      </c>
      <c r="C70" s="4"/>
      <c r="D70" s="4" t="s">
        <v>93</v>
      </c>
      <c r="E70" s="22"/>
      <c r="F70" t="s">
        <v>100</v>
      </c>
      <c r="G70" s="4">
        <v>0.5</v>
      </c>
      <c r="H70" s="22"/>
      <c r="I70" s="4">
        <v>0.5</v>
      </c>
      <c r="J70" s="4"/>
      <c r="K70" s="8">
        <f t="shared" si="23"/>
        <v>3831.4366363636368</v>
      </c>
      <c r="L70" s="8">
        <f>IFERROR(VLOOKUP($B70,Tecnicos_CAP!$E$1:$N$20,10,0)*G70,)</f>
        <v>1915.7183181818184</v>
      </c>
      <c r="M70" s="8">
        <f>IFERROR(VLOOKUP($B70,Tecnicos_CAP!$E$1:$N$20,10,0)*H70,)</f>
        <v>0</v>
      </c>
      <c r="N70" s="8">
        <f>IFERROR(VLOOKUP($B70,Tecnicos_CAP!$E$1:$N$20,10,0)*I70,)</f>
        <v>1915.7183181818184</v>
      </c>
      <c r="O70" s="8">
        <f>IFERROR(VLOOKUP($B70,Tecnicos_CAP!$E$1:$N$20,10,0)*J70,)</f>
        <v>0</v>
      </c>
    </row>
    <row r="71" spans="1:15">
      <c r="A71" s="4"/>
      <c r="B71" s="4" t="str">
        <f t="shared" si="22"/>
        <v>C3 - Specialist in Physics Engineering</v>
      </c>
      <c r="C71" s="4"/>
      <c r="D71" s="4" t="s">
        <v>93</v>
      </c>
      <c r="E71" s="22"/>
      <c r="F71" t="s">
        <v>100</v>
      </c>
      <c r="G71" s="4">
        <v>1</v>
      </c>
      <c r="H71" s="22"/>
      <c r="I71" s="4">
        <v>1</v>
      </c>
      <c r="J71" s="4"/>
      <c r="K71" s="8">
        <f t="shared" si="23"/>
        <v>5292.2545454545461</v>
      </c>
      <c r="L71" s="8">
        <f>IFERROR(VLOOKUP($B71,Tecnicos_CAP!$E$1:$N$20,10,0)*G71,)</f>
        <v>2646.1272727272731</v>
      </c>
      <c r="M71" s="8">
        <f>IFERROR(VLOOKUP($B71,Tecnicos_CAP!$E$1:$N$20,10,0)*H71,)</f>
        <v>0</v>
      </c>
      <c r="N71" s="8">
        <f>IFERROR(VLOOKUP($B71,Tecnicos_CAP!$E$1:$N$20,10,0)*I71,)</f>
        <v>2646.1272727272731</v>
      </c>
      <c r="O71" s="8">
        <f>IFERROR(VLOOKUP($B71,Tecnicos_CAP!$E$1:$N$20,10,0)*J71,)</f>
        <v>0</v>
      </c>
    </row>
    <row r="72" spans="1:15">
      <c r="A72" s="4"/>
      <c r="B72" s="4" t="str">
        <f t="shared" si="22"/>
        <v>C4 - Specialist in Optical Sensing Technologies</v>
      </c>
      <c r="C72" s="4"/>
      <c r="D72" s="4" t="s">
        <v>93</v>
      </c>
      <c r="E72" s="22"/>
      <c r="F72" t="s">
        <v>100</v>
      </c>
      <c r="G72" s="4">
        <v>1</v>
      </c>
      <c r="H72" s="22">
        <v>1</v>
      </c>
      <c r="I72" s="4">
        <v>1.5</v>
      </c>
      <c r="J72" s="4"/>
      <c r="K72" s="8">
        <f t="shared" si="23"/>
        <v>23996.677568181818</v>
      </c>
      <c r="L72" s="8">
        <f>IFERROR(VLOOKUP($B72,Tecnicos_CAP!$E$1:$N$20,10,0)*G72,)</f>
        <v>6856.1935909090907</v>
      </c>
      <c r="M72" s="8">
        <f>IFERROR(VLOOKUP($B72,Tecnicos_CAP!$E$1:$N$20,10,0)*H72,)</f>
        <v>6856.1935909090907</v>
      </c>
      <c r="N72" s="8">
        <f>IFERROR(VLOOKUP($B72,Tecnicos_CAP!$E$1:$N$20,10,0)*I72,)</f>
        <v>10284.290386363637</v>
      </c>
      <c r="O72" s="8">
        <f>IFERROR(VLOOKUP($B72,Tecnicos_CAP!$E$1:$N$20,10,0)*J72,)</f>
        <v>0</v>
      </c>
    </row>
    <row r="73" spans="1:15">
      <c r="A73" s="4"/>
      <c r="B73" s="4" t="str">
        <f t="shared" si="22"/>
        <v>C6 - Electronic Technician Specialist</v>
      </c>
      <c r="C73" s="4"/>
      <c r="D73" s="4" t="s">
        <v>93</v>
      </c>
      <c r="E73" s="22"/>
      <c r="F73" t="s">
        <v>100</v>
      </c>
      <c r="G73" s="4"/>
      <c r="H73" s="22"/>
      <c r="I73" s="4"/>
      <c r="J73" s="4"/>
      <c r="K73" s="8">
        <f t="shared" si="23"/>
        <v>0</v>
      </c>
      <c r="L73" s="8">
        <f>IFERROR(VLOOKUP($B73,Tecnicos_CAP!$E$1:$N$20,10,0)*G73,)</f>
        <v>0</v>
      </c>
      <c r="M73" s="8">
        <f>IFERROR(VLOOKUP($B73,Tecnicos_CAP!$E$1:$N$20,10,0)*H73,)</f>
        <v>0</v>
      </c>
      <c r="N73" s="8">
        <f>IFERROR(VLOOKUP($B73,Tecnicos_CAP!$E$1:$N$20,10,0)*I73,)</f>
        <v>0</v>
      </c>
      <c r="O73" s="8">
        <f>IFERROR(VLOOKUP($B73,Tecnicos_CAP!$E$1:$N$20,10,0)*J73,)</f>
        <v>0</v>
      </c>
    </row>
    <row r="74" spans="1:15">
      <c r="A74" s="4"/>
      <c r="B74" s="4" t="str">
        <f t="shared" si="22"/>
        <v xml:space="preserve">C7 - Specialist in Electronics </v>
      </c>
      <c r="C74" s="4"/>
      <c r="D74" s="4" t="s">
        <v>93</v>
      </c>
      <c r="E74" s="22"/>
      <c r="F74" t="s">
        <v>100</v>
      </c>
      <c r="G74" s="4"/>
      <c r="H74" s="22"/>
      <c r="I74" s="4"/>
      <c r="J74" s="4"/>
      <c r="K74" s="8">
        <f t="shared" si="23"/>
        <v>0</v>
      </c>
      <c r="L74" s="8">
        <f>IFERROR(VLOOKUP($B74,Tecnicos_CAP!$E$1:$N$20,10,0)*G74,)</f>
        <v>0</v>
      </c>
      <c r="M74" s="8">
        <f>IFERROR(VLOOKUP($B74,Tecnicos_CAP!$E$1:$N$20,10,0)*H74,)</f>
        <v>0</v>
      </c>
      <c r="N74" s="8">
        <f>IFERROR(VLOOKUP($B74,Tecnicos_CAP!$E$1:$N$20,10,0)*I74,)</f>
        <v>0</v>
      </c>
      <c r="O74" s="8">
        <f>IFERROR(VLOOKUP($B74,Tecnicos_CAP!$E$1:$N$20,10,0)*J74,)</f>
        <v>0</v>
      </c>
    </row>
    <row r="75" spans="1:15">
      <c r="A75" s="4"/>
      <c r="B75" s="4" t="str">
        <f t="shared" si="22"/>
        <v>D1 - Specialist in Physics</v>
      </c>
      <c r="C75" s="4"/>
      <c r="D75" s="4" t="s">
        <v>93</v>
      </c>
      <c r="E75" s="22"/>
      <c r="F75" t="s">
        <v>100</v>
      </c>
      <c r="G75" s="4"/>
      <c r="H75" s="22"/>
      <c r="I75" s="4">
        <v>1</v>
      </c>
      <c r="J75" s="4"/>
      <c r="K75" s="8">
        <f t="shared" si="23"/>
        <v>7565.5424854545454</v>
      </c>
      <c r="L75" s="8">
        <f>IFERROR(VLOOKUP($B75,Tecnicos_CAP!$E$1:$N$20,10,0)*G75,)</f>
        <v>0</v>
      </c>
      <c r="M75" s="8">
        <f>IFERROR(VLOOKUP($B75,Tecnicos_CAP!$E$1:$N$20,10,0)*H75,)</f>
        <v>0</v>
      </c>
      <c r="N75" s="8">
        <f>IFERROR(VLOOKUP($B75,Tecnicos_CAP!$E$1:$N$20,10,0)*I75,)</f>
        <v>7565.5424854545454</v>
      </c>
      <c r="O75" s="8">
        <f>IFERROR(VLOOKUP($B75,Tecnicos_CAP!$E$1:$N$20,10,0)*J75,)</f>
        <v>0</v>
      </c>
    </row>
    <row r="76" spans="1:15">
      <c r="A76" s="4"/>
      <c r="B76" s="4" t="str">
        <f t="shared" si="22"/>
        <v>C8 - Specialist in Optics and Instrumentation</v>
      </c>
      <c r="C76" s="4"/>
      <c r="D76" s="4" t="s">
        <v>93</v>
      </c>
      <c r="E76" s="22"/>
      <c r="F76" t="s">
        <v>100</v>
      </c>
      <c r="G76" s="4"/>
      <c r="H76" s="22"/>
      <c r="I76" s="4"/>
      <c r="J76" s="4"/>
      <c r="K76" s="8">
        <f t="shared" si="23"/>
        <v>0</v>
      </c>
      <c r="L76" s="8">
        <f>IFERROR(VLOOKUP($B76,Tecnicos_CAP!$E$1:$N$20,10,0)*G76,)</f>
        <v>0</v>
      </c>
      <c r="M76" s="8">
        <f>IFERROR(VLOOKUP($B76,Tecnicos_CAP!$E$1:$N$20,10,0)*H76,)</f>
        <v>0</v>
      </c>
      <c r="N76" s="8">
        <f>IFERROR(VLOOKUP($B76,Tecnicos_CAP!$E$1:$N$20,10,0)*I76,)</f>
        <v>0</v>
      </c>
      <c r="O76" s="8">
        <f>IFERROR(VLOOKUP($B76,Tecnicos_CAP!$E$1:$N$20,10,0)*J76,)</f>
        <v>0</v>
      </c>
    </row>
    <row r="77" spans="1:15">
      <c r="A77" s="4"/>
      <c r="B77" s="4" t="s">
        <v>175</v>
      </c>
      <c r="C77" s="4"/>
      <c r="D77" s="4"/>
      <c r="E77" s="22"/>
      <c r="G77" s="4"/>
      <c r="J77" s="4"/>
      <c r="K77" s="8"/>
      <c r="L77" s="8"/>
      <c r="M77" s="8"/>
      <c r="N77" s="8"/>
      <c r="O77" s="8"/>
    </row>
    <row r="78" spans="1:15">
      <c r="A78" s="4"/>
      <c r="B78" s="4"/>
      <c r="C78" s="4"/>
      <c r="D78" s="4" t="s">
        <v>93</v>
      </c>
      <c r="E78" s="22"/>
      <c r="G78" s="4"/>
      <c r="J78" s="4"/>
      <c r="K78" s="8"/>
      <c r="L78" s="8">
        <f>IFERROR(VLOOKUP($B78,Tecnicos_CAP!$E$1:$N$20,10,0)*G78,)</f>
        <v>0</v>
      </c>
      <c r="M78" s="8">
        <f>IFERROR(VLOOKUP($B78,Tecnicos_CAP!$E$1:$N$20,10,0)*H78,)</f>
        <v>0</v>
      </c>
      <c r="N78" s="8">
        <f>IFERROR(VLOOKUP($B78,Tecnicos_CAP!$E$1:$N$20,10,0)*I78,)</f>
        <v>0</v>
      </c>
      <c r="O78" s="8">
        <f>IFERROR(VLOOKUP($B78,Tecnicos_CAP!$E$1:$N$20,10,0)*J78,)</f>
        <v>0</v>
      </c>
    </row>
    <row r="79" spans="1:15" ht="15" thickBot="1">
      <c r="A79" s="17"/>
      <c r="B79" s="17" t="str">
        <f t="shared" ref="B79:B87" si="24">B68</f>
        <v>C2 - Specialist in Electrochemistry</v>
      </c>
      <c r="C79" s="17"/>
      <c r="D79" s="17" t="s">
        <v>93</v>
      </c>
      <c r="E79" s="24"/>
      <c r="F79" s="27" t="s">
        <v>101</v>
      </c>
      <c r="G79" s="17"/>
      <c r="H79" s="17"/>
      <c r="I79" s="24"/>
      <c r="J79" s="17"/>
      <c r="K79" s="26">
        <f t="shared" ref="K79:K87" si="25">SUM(L79:O79)</f>
        <v>0</v>
      </c>
      <c r="L79" s="8">
        <f>IFERROR(VLOOKUP($B79,Tecnicos_CAP!$E$1:$N$20,10,0)*G79,)</f>
        <v>0</v>
      </c>
      <c r="M79" s="8">
        <f>IFERROR(VLOOKUP($B79,Tecnicos_CAP!$E$1:$N$20,10,0)*H79,)</f>
        <v>0</v>
      </c>
      <c r="N79" s="8">
        <f>IFERROR(VLOOKUP($B79,Tecnicos_CAP!$E$1:$N$20,10,0)*I79,)</f>
        <v>0</v>
      </c>
      <c r="O79" s="8">
        <f>IFERROR(VLOOKUP($B79,Tecnicos_CAP!$E$1:$N$20,10,0)*J79,)</f>
        <v>0</v>
      </c>
    </row>
    <row r="80" spans="1:15" ht="15" thickBot="1">
      <c r="A80" s="17"/>
      <c r="B80" s="17" t="str">
        <f t="shared" si="24"/>
        <v>C5 - Specialist in Chemical Functionalization and Optical Sensing</v>
      </c>
      <c r="C80" s="17"/>
      <c r="D80" s="17" t="s">
        <v>93</v>
      </c>
      <c r="E80" s="24"/>
      <c r="F80" s="27" t="s">
        <v>101</v>
      </c>
      <c r="G80" s="17"/>
      <c r="H80" s="17"/>
      <c r="I80" s="24"/>
      <c r="J80" s="17"/>
      <c r="K80" s="26">
        <f t="shared" si="25"/>
        <v>0</v>
      </c>
      <c r="L80" s="8">
        <f>IFERROR(VLOOKUP($B80,Tecnicos_CAP!$E$1:$N$20,10,0)*G80,)</f>
        <v>0</v>
      </c>
      <c r="M80" s="8">
        <f>IFERROR(VLOOKUP($B80,Tecnicos_CAP!$E$1:$N$20,10,0)*H80,)</f>
        <v>0</v>
      </c>
      <c r="N80" s="8">
        <f>IFERROR(VLOOKUP($B80,Tecnicos_CAP!$E$1:$N$20,10,0)*I80,)</f>
        <v>0</v>
      </c>
      <c r="O80" s="8">
        <f>IFERROR(VLOOKUP($B80,Tecnicos_CAP!$E$1:$N$20,10,0)*J80,)</f>
        <v>0</v>
      </c>
    </row>
    <row r="81" spans="1:25" ht="15" thickBot="1">
      <c r="A81" s="17"/>
      <c r="B81" s="17" t="str">
        <f t="shared" si="24"/>
        <v>C1 - Specialist in Signal Processing and Hardware Instrumentation Design</v>
      </c>
      <c r="C81" s="17"/>
      <c r="D81" s="17" t="s">
        <v>93</v>
      </c>
      <c r="E81" s="24"/>
      <c r="F81" s="27" t="s">
        <v>101</v>
      </c>
      <c r="G81" s="17"/>
      <c r="H81" s="17"/>
      <c r="I81" s="24"/>
      <c r="J81" s="17"/>
      <c r="K81" s="26">
        <f t="shared" si="25"/>
        <v>0</v>
      </c>
      <c r="L81" s="8">
        <f>IFERROR(VLOOKUP($B81,Tecnicos_CAP!$E$1:$N$20,10,0)*G81,)</f>
        <v>0</v>
      </c>
      <c r="M81" s="8">
        <f>IFERROR(VLOOKUP($B81,Tecnicos_CAP!$E$1:$N$20,10,0)*H81,)</f>
        <v>0</v>
      </c>
      <c r="N81" s="8">
        <f>IFERROR(VLOOKUP($B81,Tecnicos_CAP!$E$1:$N$20,10,0)*I81,)</f>
        <v>0</v>
      </c>
      <c r="O81" s="8">
        <f>IFERROR(VLOOKUP($B81,Tecnicos_CAP!$E$1:$N$20,10,0)*J81,)</f>
        <v>0</v>
      </c>
    </row>
    <row r="82" spans="1:25" ht="15" thickBot="1">
      <c r="A82" s="17"/>
      <c r="B82" s="35" t="str">
        <f t="shared" si="24"/>
        <v>C3 - Specialist in Physics Engineering</v>
      </c>
      <c r="C82" s="17"/>
      <c r="D82" s="17" t="s">
        <v>93</v>
      </c>
      <c r="E82" s="24"/>
      <c r="F82" s="27" t="s">
        <v>101</v>
      </c>
      <c r="G82" s="17"/>
      <c r="H82" s="17"/>
      <c r="I82" s="24"/>
      <c r="J82" s="17"/>
      <c r="K82" s="26">
        <f t="shared" si="25"/>
        <v>0</v>
      </c>
      <c r="L82" s="8">
        <f>IFERROR(VLOOKUP($B82,Tecnicos_CAP!$E$1:$N$20,10,0)*G82,)</f>
        <v>0</v>
      </c>
      <c r="M82" s="8">
        <f>IFERROR(VLOOKUP($B82,Tecnicos_CAP!$E$1:$N$20,10,0)*H82,)</f>
        <v>0</v>
      </c>
      <c r="N82" s="8">
        <f>IFERROR(VLOOKUP($B82,Tecnicos_CAP!$E$1:$N$20,10,0)*I82,)</f>
        <v>0</v>
      </c>
      <c r="O82" s="8">
        <f>IFERROR(VLOOKUP($B82,Tecnicos_CAP!$E$1:$N$20,10,0)*J82,)</f>
        <v>0</v>
      </c>
    </row>
    <row r="83" spans="1:25" ht="15" thickBot="1">
      <c r="A83" s="17"/>
      <c r="B83" s="17" t="str">
        <f t="shared" si="24"/>
        <v>C4 - Specialist in Optical Sensing Technologies</v>
      </c>
      <c r="C83" s="17"/>
      <c r="D83" s="17" t="s">
        <v>93</v>
      </c>
      <c r="E83" s="24"/>
      <c r="F83" s="27" t="s">
        <v>101</v>
      </c>
      <c r="G83" s="17"/>
      <c r="H83" s="17"/>
      <c r="I83" s="24"/>
      <c r="J83" s="17"/>
      <c r="K83" s="26">
        <f t="shared" si="25"/>
        <v>0</v>
      </c>
      <c r="L83" s="8">
        <f>IFERROR(VLOOKUP($B83,Tecnicos_CAP!$E$1:$N$20,10,0)*G83,)</f>
        <v>0</v>
      </c>
      <c r="M83" s="8">
        <f>IFERROR(VLOOKUP($B83,Tecnicos_CAP!$E$1:$N$20,10,0)*H83,)</f>
        <v>0</v>
      </c>
      <c r="N83" s="8">
        <f>IFERROR(VLOOKUP($B83,Tecnicos_CAP!$E$1:$N$20,10,0)*I83,)</f>
        <v>0</v>
      </c>
      <c r="O83" s="8">
        <f>IFERROR(VLOOKUP($B83,Tecnicos_CAP!$E$1:$N$20,10,0)*J83,)</f>
        <v>0</v>
      </c>
    </row>
    <row r="84" spans="1:25" ht="15" thickBot="1">
      <c r="A84" s="17"/>
      <c r="B84" s="17" t="str">
        <f t="shared" si="24"/>
        <v>C6 - Electronic Technician Specialist</v>
      </c>
      <c r="C84" s="17"/>
      <c r="D84" s="17" t="s">
        <v>93</v>
      </c>
      <c r="E84" s="24"/>
      <c r="F84" s="27" t="s">
        <v>101</v>
      </c>
      <c r="G84" s="17"/>
      <c r="H84" s="17"/>
      <c r="I84" s="24"/>
      <c r="J84" s="17"/>
      <c r="K84" s="26">
        <f t="shared" si="25"/>
        <v>0</v>
      </c>
      <c r="L84" s="8">
        <f>IFERROR(VLOOKUP($B84,Tecnicos_CAP!$E$1:$N$20,10,0)*G84,)</f>
        <v>0</v>
      </c>
      <c r="M84" s="8">
        <f>IFERROR(VLOOKUP($B84,Tecnicos_CAP!$E$1:$N$20,10,0)*H84,)</f>
        <v>0</v>
      </c>
      <c r="N84" s="8">
        <f>IFERROR(VLOOKUP($B84,Tecnicos_CAP!$E$1:$N$20,10,0)*I84,)</f>
        <v>0</v>
      </c>
      <c r="O84" s="8">
        <f>IFERROR(VLOOKUP($B84,Tecnicos_CAP!$E$1:$N$20,10,0)*J84,)</f>
        <v>0</v>
      </c>
    </row>
    <row r="85" spans="1:25" ht="15" thickBot="1">
      <c r="A85" s="17"/>
      <c r="B85" s="17" t="str">
        <f t="shared" si="24"/>
        <v xml:space="preserve">C7 - Specialist in Electronics </v>
      </c>
      <c r="C85" s="17"/>
      <c r="D85" s="17" t="s">
        <v>93</v>
      </c>
      <c r="E85" s="24"/>
      <c r="F85" s="27" t="s">
        <v>101</v>
      </c>
      <c r="G85" s="17"/>
      <c r="H85" s="17"/>
      <c r="I85" s="24"/>
      <c r="J85" s="17"/>
      <c r="K85" s="26">
        <f t="shared" si="25"/>
        <v>0</v>
      </c>
      <c r="L85" s="8">
        <f>IFERROR(VLOOKUP($B85,Tecnicos_CAP!$E$1:$N$20,10,0)*G85,)</f>
        <v>0</v>
      </c>
      <c r="M85" s="8">
        <f>IFERROR(VLOOKUP($B85,Tecnicos_CAP!$E$1:$N$20,10,0)*H85,)</f>
        <v>0</v>
      </c>
      <c r="N85" s="8">
        <f>IFERROR(VLOOKUP($B85,Tecnicos_CAP!$E$1:$N$20,10,0)*I85,)</f>
        <v>0</v>
      </c>
      <c r="O85" s="8">
        <f>IFERROR(VLOOKUP($B85,Tecnicos_CAP!$E$1:$N$20,10,0)*J85,)</f>
        <v>0</v>
      </c>
    </row>
    <row r="86" spans="1:25" ht="15" thickBot="1">
      <c r="A86" s="17"/>
      <c r="B86" s="17" t="str">
        <f t="shared" si="24"/>
        <v>D1 - Specialist in Physics</v>
      </c>
      <c r="C86" s="17"/>
      <c r="D86" s="17" t="s">
        <v>93</v>
      </c>
      <c r="E86" s="24"/>
      <c r="F86" s="27" t="s">
        <v>101</v>
      </c>
      <c r="G86" s="17"/>
      <c r="H86" s="17"/>
      <c r="I86" s="24"/>
      <c r="J86" s="17"/>
      <c r="K86" s="26">
        <f t="shared" si="25"/>
        <v>0</v>
      </c>
      <c r="L86" s="8">
        <f>IFERROR(VLOOKUP($B86,Tecnicos_CAP!$E$1:$N$20,10,0)*G86,)</f>
        <v>0</v>
      </c>
      <c r="M86" s="8">
        <f>IFERROR(VLOOKUP($B86,Tecnicos_CAP!$E$1:$N$20,10,0)*H86,)</f>
        <v>0</v>
      </c>
      <c r="N86" s="8">
        <f>IFERROR(VLOOKUP($B86,Tecnicos_CAP!$E$1:$N$20,10,0)*I86,)</f>
        <v>0</v>
      </c>
      <c r="O86" s="8">
        <f>IFERROR(VLOOKUP($B86,Tecnicos_CAP!$E$1:$N$20,10,0)*J86,)</f>
        <v>0</v>
      </c>
    </row>
    <row r="87" spans="1:25" ht="15" thickBot="1">
      <c r="A87" s="17"/>
      <c r="B87" s="17" t="str">
        <f t="shared" si="24"/>
        <v>C8 - Specialist in Optics and Instrumentation</v>
      </c>
      <c r="C87" s="17"/>
      <c r="D87" s="17" t="s">
        <v>93</v>
      </c>
      <c r="E87" s="24"/>
      <c r="F87" s="27" t="s">
        <v>101</v>
      </c>
      <c r="G87" s="17"/>
      <c r="H87" s="17"/>
      <c r="I87" s="24"/>
      <c r="J87" s="17"/>
      <c r="K87" s="26">
        <f t="shared" si="25"/>
        <v>0</v>
      </c>
      <c r="L87" s="8">
        <f>IFERROR(VLOOKUP($B87,Tecnicos_CAP!$E$1:$N$20,10,0)*G87,)</f>
        <v>0</v>
      </c>
      <c r="M87" s="8">
        <f>IFERROR(VLOOKUP($B87,Tecnicos_CAP!$E$1:$N$20,10,0)*H87,)</f>
        <v>0</v>
      </c>
      <c r="N87" s="8">
        <f>IFERROR(VLOOKUP($B87,Tecnicos_CAP!$E$1:$N$20,10,0)*I87,)</f>
        <v>0</v>
      </c>
      <c r="O87" s="8">
        <f>IFERROR(VLOOKUP($B87,Tecnicos_CAP!$E$1:$N$20,10,0)*J87,)</f>
        <v>0</v>
      </c>
    </row>
    <row r="88" spans="1:25" ht="15" thickBot="1">
      <c r="A88" s="25"/>
      <c r="B88" s="25"/>
      <c r="C88" s="25"/>
      <c r="D88" s="25"/>
      <c r="E88" s="25"/>
      <c r="F88" s="27"/>
      <c r="G88" s="25"/>
      <c r="H88" s="25"/>
      <c r="I88" s="25"/>
      <c r="J88" s="25"/>
      <c r="K88" s="28"/>
      <c r="L88" s="8"/>
      <c r="M88" s="8"/>
      <c r="N88" s="8"/>
      <c r="O88" s="8"/>
    </row>
    <row r="89" spans="1:25" ht="15" thickBot="1">
      <c r="A89" s="25"/>
      <c r="B89" s="25"/>
      <c r="C89" s="25"/>
      <c r="D89" s="25"/>
      <c r="E89" s="25"/>
      <c r="F89" s="27"/>
      <c r="G89" s="25"/>
      <c r="H89" s="25"/>
      <c r="I89" s="25"/>
      <c r="J89" s="25"/>
      <c r="K89" s="28"/>
      <c r="L89" s="8">
        <f>IFERROR(VLOOKUP($B89,Tecnicos_CAP!$E$1:$N$20,10,0)*G89,)</f>
        <v>0</v>
      </c>
      <c r="M89" s="8">
        <f>IFERROR(VLOOKUP($B89,Tecnicos_CAP!$E$1:$N$20,10,0)*H89,)</f>
        <v>0</v>
      </c>
      <c r="N89" s="8">
        <f>IFERROR(VLOOKUP($B89,Tecnicos_CAP!$E$1:$N$20,10,0)*I89,)</f>
        <v>0</v>
      </c>
      <c r="O89" s="8">
        <f>IFERROR(VLOOKUP($B89,Tecnicos_CAP!$E$1:$N$20,10,0)*J89,)</f>
        <v>0</v>
      </c>
    </row>
    <row r="90" spans="1:25">
      <c r="G90" s="21">
        <f>SUM(G2:G87)</f>
        <v>35.5</v>
      </c>
      <c r="H90" s="21">
        <f>SUM(H2:H87)</f>
        <v>54</v>
      </c>
      <c r="I90" s="21">
        <f t="shared" ref="I90:J90" si="26">SUM(I2:I87)</f>
        <v>44.5</v>
      </c>
      <c r="J90" s="21">
        <f t="shared" si="26"/>
        <v>0</v>
      </c>
      <c r="K90" s="11" t="s">
        <v>91</v>
      </c>
      <c r="L90" s="44">
        <f>SUM(L2:L87)</f>
        <v>120862.53583000004</v>
      </c>
      <c r="M90" s="44">
        <f>SUM(M2:M87)</f>
        <v>173146.7656190909</v>
      </c>
      <c r="N90" s="44">
        <f>SUM(N2:N87)</f>
        <v>179806.90897636366</v>
      </c>
      <c r="O90">
        <f>SUM(O2:O87)</f>
        <v>0</v>
      </c>
      <c r="P90" s="44">
        <f>SUM(L90:O90)</f>
        <v>473816.2104254546</v>
      </c>
      <c r="Y90">
        <f>800+400</f>
        <v>1200</v>
      </c>
    </row>
  </sheetData>
  <autoFilter ref="A1:O90" xr:uid="{F697AA4C-D069-474E-B200-3B6433537AC0}"/>
  <dataValidations count="1">
    <dataValidation type="decimal" operator="lessThanOrEqual" allowBlank="1" showInputMessage="1" showErrorMessage="1" sqref="H79:H89 I57:I78 G68:G89 J2:J89 I2:I45 G46:G56 H2:H67 G2:G23" xr:uid="{5E842E56-7067-44D3-BC74-39405205AA2A}">
      <formula1>11</formula1>
    </dataValidation>
  </dataValidation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C85C-7843-4166-A1EF-69F19AD13FCD}">
  <dimension ref="A1:W46"/>
  <sheetViews>
    <sheetView zoomScale="39" zoomScaleNormal="90" workbookViewId="0">
      <pane xSplit="7" ySplit="8" topLeftCell="T14" activePane="bottomRight" state="frozen"/>
      <selection pane="topRight" activeCell="H1" sqref="H1"/>
      <selection pane="bottomLeft" activeCell="A14" sqref="A14"/>
      <selection pane="bottomRight" activeCell="P67" sqref="P67"/>
    </sheetView>
  </sheetViews>
  <sheetFormatPr defaultColWidth="8.88671875" defaultRowHeight="14.4"/>
  <cols>
    <col min="2" max="2" width="12.6640625" customWidth="1"/>
    <col min="3" max="3" width="8.44140625" customWidth="1"/>
    <col min="4" max="4" width="16.109375" customWidth="1"/>
    <col min="5" max="5" width="14.33203125" customWidth="1"/>
    <col min="6" max="6" width="55.44140625" bestFit="1" customWidth="1"/>
    <col min="7" max="7" width="88.6640625" bestFit="1" customWidth="1"/>
    <col min="8" max="8" width="28.33203125" customWidth="1"/>
    <col min="23" max="23" width="13.33203125" bestFit="1" customWidth="1"/>
  </cols>
  <sheetData>
    <row r="1" spans="1:22">
      <c r="A1" s="1" t="s">
        <v>21</v>
      </c>
      <c r="B1" s="1" t="s">
        <v>102</v>
      </c>
      <c r="C1" s="1" t="s">
        <v>67</v>
      </c>
      <c r="D1" s="1" t="s">
        <v>22</v>
      </c>
      <c r="E1" s="1" t="s">
        <v>70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107</v>
      </c>
      <c r="K1" s="2" t="s">
        <v>108</v>
      </c>
      <c r="L1" s="3" t="s">
        <v>109</v>
      </c>
    </row>
    <row r="2" spans="1:22">
      <c r="A2" s="10"/>
      <c r="B2" s="10"/>
      <c r="C2" s="10"/>
      <c r="D2" s="10"/>
      <c r="E2" s="10"/>
      <c r="F2" s="10"/>
      <c r="G2" s="10"/>
      <c r="H2" s="10" t="s">
        <v>110</v>
      </c>
      <c r="I2" s="10">
        <v>2027</v>
      </c>
      <c r="J2" s="10"/>
      <c r="K2" s="10">
        <f>Pessoal_SYSTEM!L55</f>
        <v>276378.78667000006</v>
      </c>
      <c r="L2" s="10"/>
    </row>
    <row r="3" spans="1:22">
      <c r="A3" s="10"/>
      <c r="B3" s="10"/>
      <c r="C3" s="10"/>
      <c r="D3" s="10"/>
      <c r="E3" s="10"/>
      <c r="F3" s="10"/>
      <c r="G3" s="10"/>
      <c r="H3" s="10" t="s">
        <v>110</v>
      </c>
      <c r="I3" s="10">
        <v>2028</v>
      </c>
      <c r="J3" s="10"/>
      <c r="K3" s="10">
        <f>Pessoal_SYSTEM!M55</f>
        <v>276378.78667000012</v>
      </c>
      <c r="L3" s="10"/>
    </row>
    <row r="4" spans="1:22">
      <c r="A4" s="10"/>
      <c r="B4" s="10"/>
      <c r="C4" s="10"/>
      <c r="D4" s="10"/>
      <c r="E4" s="10"/>
      <c r="F4" s="10"/>
      <c r="G4" s="10"/>
      <c r="H4" s="10" t="s">
        <v>110</v>
      </c>
      <c r="I4" s="10">
        <v>2029</v>
      </c>
      <c r="J4" s="10"/>
      <c r="K4" s="10">
        <f>Pessoal_SYSTEM!N55</f>
        <v>276378.78667000006</v>
      </c>
      <c r="L4" s="10"/>
    </row>
    <row r="5" spans="1:22">
      <c r="A5" s="10"/>
      <c r="B5" s="10"/>
      <c r="C5" s="10"/>
      <c r="D5" s="10"/>
      <c r="E5" s="10"/>
      <c r="F5" s="10"/>
      <c r="G5" s="10"/>
      <c r="H5" s="10" t="s">
        <v>110</v>
      </c>
      <c r="I5" s="10">
        <v>2030</v>
      </c>
      <c r="J5" s="10"/>
      <c r="K5" s="10">
        <f>Pessoal_SYSTEM!O55</f>
        <v>0</v>
      </c>
      <c r="L5" s="10"/>
    </row>
    <row r="6" spans="1:22">
      <c r="A6" s="4"/>
      <c r="B6" s="4"/>
      <c r="C6" s="4"/>
      <c r="D6" s="4" t="s">
        <v>34</v>
      </c>
      <c r="E6" s="4" t="s">
        <v>81</v>
      </c>
      <c r="F6" s="4" t="s">
        <v>96</v>
      </c>
      <c r="G6" s="4" t="s">
        <v>111</v>
      </c>
      <c r="H6" s="4" t="s">
        <v>7</v>
      </c>
      <c r="I6" s="4">
        <v>2027</v>
      </c>
      <c r="J6" s="4">
        <v>4</v>
      </c>
      <c r="K6" s="4">
        <v>20000</v>
      </c>
      <c r="L6" s="4"/>
    </row>
    <row r="7" spans="1:22">
      <c r="A7" s="4"/>
      <c r="B7" s="4"/>
      <c r="C7" s="4"/>
      <c r="D7" s="4" t="s">
        <v>34</v>
      </c>
      <c r="E7" s="4" t="s">
        <v>81</v>
      </c>
      <c r="F7" s="4" t="s">
        <v>96</v>
      </c>
      <c r="G7" s="4" t="s">
        <v>112</v>
      </c>
      <c r="H7" s="4" t="s">
        <v>8</v>
      </c>
      <c r="I7" s="4">
        <v>2027</v>
      </c>
      <c r="J7" s="4">
        <v>4</v>
      </c>
      <c r="K7" s="4">
        <v>15000</v>
      </c>
      <c r="L7" s="4"/>
    </row>
    <row r="8" spans="1:22">
      <c r="A8" s="4"/>
      <c r="B8" s="4"/>
      <c r="C8" s="4"/>
      <c r="D8" s="4" t="s">
        <v>34</v>
      </c>
      <c r="E8" s="4" t="s">
        <v>81</v>
      </c>
      <c r="F8" s="4" t="s">
        <v>96</v>
      </c>
      <c r="G8" s="4" t="s">
        <v>112</v>
      </c>
      <c r="H8" s="4" t="s">
        <v>8</v>
      </c>
      <c r="I8" s="4">
        <v>2028</v>
      </c>
      <c r="J8" s="4">
        <v>1</v>
      </c>
      <c r="K8" s="4">
        <v>15000</v>
      </c>
      <c r="L8" s="4"/>
    </row>
    <row r="9" spans="1:22">
      <c r="A9" s="4"/>
      <c r="B9" s="4"/>
      <c r="C9" s="4"/>
      <c r="D9" s="4" t="s">
        <v>34</v>
      </c>
      <c r="E9" s="4" t="s">
        <v>81</v>
      </c>
      <c r="F9" s="4" t="s">
        <v>96</v>
      </c>
      <c r="G9" s="4" t="s">
        <v>112</v>
      </c>
      <c r="H9" s="4" t="s">
        <v>8</v>
      </c>
      <c r="I9" s="4">
        <v>2029</v>
      </c>
      <c r="J9" s="4">
        <v>1</v>
      </c>
      <c r="K9" s="4">
        <v>15000</v>
      </c>
      <c r="L9" s="4"/>
    </row>
    <row r="10" spans="1:22">
      <c r="A10" s="4"/>
      <c r="B10" s="4"/>
      <c r="C10" s="4"/>
      <c r="D10" s="4" t="s">
        <v>34</v>
      </c>
      <c r="E10" s="4" t="s">
        <v>81</v>
      </c>
      <c r="F10" s="4" t="s">
        <v>99</v>
      </c>
      <c r="G10" s="4" t="s">
        <v>113</v>
      </c>
      <c r="H10" s="4" t="s">
        <v>14</v>
      </c>
      <c r="I10" s="4">
        <v>2028</v>
      </c>
      <c r="J10" s="4">
        <v>1</v>
      </c>
      <c r="K10" s="4">
        <v>1500</v>
      </c>
      <c r="L10" s="4"/>
    </row>
    <row r="11" spans="1:22">
      <c r="A11" s="4"/>
      <c r="B11" s="4"/>
      <c r="C11" s="4"/>
      <c r="D11" s="4" t="s">
        <v>34</v>
      </c>
      <c r="E11" s="4" t="s">
        <v>81</v>
      </c>
      <c r="F11" s="4" t="s">
        <v>99</v>
      </c>
      <c r="G11" s="4" t="s">
        <v>114</v>
      </c>
      <c r="H11" s="4" t="s">
        <v>14</v>
      </c>
      <c r="I11" s="4">
        <v>2029</v>
      </c>
      <c r="J11" s="4">
        <v>1</v>
      </c>
      <c r="K11" s="4">
        <v>1500</v>
      </c>
      <c r="L11" s="4"/>
    </row>
    <row r="12" spans="1:22">
      <c r="A12" s="4"/>
      <c r="B12" s="4"/>
      <c r="C12" s="4"/>
      <c r="D12" s="4" t="s">
        <v>34</v>
      </c>
      <c r="E12" s="4" t="s">
        <v>81</v>
      </c>
      <c r="F12" s="4" t="s">
        <v>99</v>
      </c>
      <c r="G12" s="4" t="s">
        <v>148</v>
      </c>
      <c r="H12" s="4" t="s">
        <v>16</v>
      </c>
      <c r="I12" s="4">
        <v>2028</v>
      </c>
      <c r="J12" s="4">
        <v>1</v>
      </c>
      <c r="K12" s="4">
        <v>2000</v>
      </c>
      <c r="L12" s="45">
        <f>1188*2</f>
        <v>2376</v>
      </c>
      <c r="M12" t="s">
        <v>150</v>
      </c>
    </row>
    <row r="13" spans="1:22">
      <c r="A13" s="4"/>
      <c r="B13" s="4"/>
      <c r="C13" s="4"/>
      <c r="D13" s="4" t="s">
        <v>34</v>
      </c>
      <c r="E13" s="4" t="s">
        <v>81</v>
      </c>
      <c r="F13" s="4" t="s">
        <v>99</v>
      </c>
      <c r="G13" s="4" t="s">
        <v>149</v>
      </c>
      <c r="H13" s="4" t="s">
        <v>16</v>
      </c>
      <c r="I13" s="4">
        <v>2029</v>
      </c>
      <c r="J13" s="4">
        <v>1</v>
      </c>
      <c r="K13" s="4">
        <v>2000</v>
      </c>
      <c r="L13" s="45">
        <f>309*2</f>
        <v>618</v>
      </c>
      <c r="M13" t="s">
        <v>155</v>
      </c>
    </row>
    <row r="14" spans="1:22">
      <c r="A14" s="4"/>
      <c r="B14" s="4"/>
      <c r="C14" s="4"/>
      <c r="D14" s="4" t="s">
        <v>34</v>
      </c>
      <c r="E14" s="4" t="s">
        <v>81</v>
      </c>
      <c r="F14" s="4" t="s">
        <v>99</v>
      </c>
      <c r="G14" s="4" t="s">
        <v>151</v>
      </c>
      <c r="H14" s="4" t="s">
        <v>17</v>
      </c>
      <c r="I14" s="4">
        <v>2028</v>
      </c>
      <c r="J14" s="4">
        <v>1</v>
      </c>
      <c r="K14" s="4">
        <v>2000</v>
      </c>
      <c r="L14" s="45">
        <f>(280*5)*2</f>
        <v>2800</v>
      </c>
      <c r="M14" t="s">
        <v>153</v>
      </c>
    </row>
    <row r="15" spans="1:22">
      <c r="A15" s="4"/>
      <c r="B15" s="4"/>
      <c r="C15" s="4"/>
      <c r="D15" s="4" t="s">
        <v>34</v>
      </c>
      <c r="E15" s="4" t="s">
        <v>81</v>
      </c>
      <c r="F15" s="4" t="s">
        <v>99</v>
      </c>
      <c r="G15" s="4" t="s">
        <v>152</v>
      </c>
      <c r="H15" s="4" t="s">
        <v>17</v>
      </c>
      <c r="I15" s="4">
        <v>2029</v>
      </c>
      <c r="J15" s="4">
        <v>1</v>
      </c>
      <c r="K15" s="4">
        <v>2000</v>
      </c>
      <c r="L15" s="45">
        <f>(282*5)*2</f>
        <v>2820</v>
      </c>
      <c r="M15" t="s">
        <v>154</v>
      </c>
    </row>
    <row r="16" spans="1:22">
      <c r="A16" s="4"/>
      <c r="B16" s="4"/>
      <c r="C16" s="4"/>
      <c r="D16" s="4" t="s">
        <v>34</v>
      </c>
      <c r="E16" s="4" t="s">
        <v>81</v>
      </c>
      <c r="F16" s="4" t="s">
        <v>99</v>
      </c>
      <c r="G16" s="4" t="s">
        <v>115</v>
      </c>
      <c r="H16" s="4" t="s">
        <v>13</v>
      </c>
      <c r="I16" s="4">
        <v>2029</v>
      </c>
      <c r="J16" s="4">
        <v>1</v>
      </c>
      <c r="K16" s="4">
        <v>3000</v>
      </c>
      <c r="L16" s="4"/>
      <c r="V16" t="s">
        <v>116</v>
      </c>
    </row>
    <row r="17" spans="1:2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2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2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2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2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V21" s="71" t="s">
        <v>117</v>
      </c>
      <c r="W21" s="71"/>
    </row>
    <row r="22" spans="1:2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V22" s="13">
        <v>2027</v>
      </c>
      <c r="W22" s="12">
        <f>SUMIFS($K$2:$K$46,$I$2:$I$46,V22)</f>
        <v>333175.30173690006</v>
      </c>
    </row>
    <row r="23" spans="1: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V23" s="13">
        <v>2028</v>
      </c>
      <c r="W23" s="12">
        <f t="shared" ref="W23" si="0">SUMIFS($K$2:$K$46,$I$2:$I$46,V23)</f>
        <v>317660.30173690012</v>
      </c>
    </row>
    <row r="24" spans="1:2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V24" s="13">
        <v>2029</v>
      </c>
      <c r="W24" s="12">
        <f>SUMIFS($K$2:$K$46,$I$2:$I$46,V24)</f>
        <v>320870.30173690006</v>
      </c>
    </row>
    <row r="25" spans="1:23" ht="15" thickBo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V25" s="15">
        <v>2030</v>
      </c>
      <c r="W25" s="16">
        <f>SUMIFS($K$2:$K$46,$I$2:$I$46,V25)</f>
        <v>0</v>
      </c>
    </row>
    <row r="26" spans="1:2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V26" s="14" t="s">
        <v>92</v>
      </c>
      <c r="W26" s="43">
        <f>SUM(W22:W25)</f>
        <v>971705.90521070035</v>
      </c>
    </row>
    <row r="27" spans="1:2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10"/>
      <c r="B43" s="10"/>
      <c r="C43" s="10"/>
      <c r="D43" s="10"/>
      <c r="E43" s="10"/>
      <c r="F43" s="10"/>
      <c r="G43" s="10"/>
      <c r="H43" s="10" t="s">
        <v>118</v>
      </c>
      <c r="I43" s="10">
        <v>2026</v>
      </c>
      <c r="J43" s="10"/>
      <c r="K43" s="10">
        <f>SUMIFS($K$2:$K$42,$I$2:$I$42,2025)*0.07</f>
        <v>0</v>
      </c>
      <c r="L43" s="10"/>
    </row>
    <row r="44" spans="1:12">
      <c r="A44" s="10"/>
      <c r="B44" s="10"/>
      <c r="C44" s="10"/>
      <c r="D44" s="10"/>
      <c r="E44" s="10"/>
      <c r="F44" s="10"/>
      <c r="G44" s="10"/>
      <c r="H44" s="10" t="s">
        <v>118</v>
      </c>
      <c r="I44" s="10">
        <v>2027</v>
      </c>
      <c r="J44" s="10"/>
      <c r="K44" s="10">
        <f>SUMIFS($K$2:$K$42,$I$2:$I$42,2027)*0.07</f>
        <v>21796.515066900007</v>
      </c>
      <c r="L44" s="10"/>
    </row>
    <row r="45" spans="1:12">
      <c r="A45" s="10"/>
      <c r="B45" s="10"/>
      <c r="C45" s="10"/>
      <c r="D45" s="10"/>
      <c r="E45" s="10"/>
      <c r="F45" s="10"/>
      <c r="G45" s="10"/>
      <c r="H45" s="10" t="s">
        <v>118</v>
      </c>
      <c r="I45" s="10">
        <v>2028</v>
      </c>
      <c r="J45" s="10"/>
      <c r="K45" s="10">
        <f>SUMIFS($K$2:$K$42,$I$2:$I$42,2028)*0.07</f>
        <v>20781.51506690001</v>
      </c>
      <c r="L45" s="10"/>
    </row>
    <row r="46" spans="1:12">
      <c r="A46" s="10"/>
      <c r="B46" s="10"/>
      <c r="C46" s="10"/>
      <c r="D46" s="10"/>
      <c r="E46" s="10"/>
      <c r="F46" s="10"/>
      <c r="G46" s="10"/>
      <c r="H46" s="10" t="s">
        <v>118</v>
      </c>
      <c r="I46" s="10">
        <v>2029</v>
      </c>
      <c r="J46" s="10"/>
      <c r="K46" s="10">
        <f>SUMIFS($K$2:$K$42,$I$2:$I$42,2029)*0.07</f>
        <v>20991.515066900007</v>
      </c>
      <c r="L46" s="10"/>
    </row>
  </sheetData>
  <mergeCells count="1">
    <mergeCell ref="V21:W21"/>
  </mergeCells>
  <dataValidations count="3">
    <dataValidation type="list" allowBlank="1" showInputMessage="1" showErrorMessage="1" sqref="I6:I42" xr:uid="{F84090B7-1A9F-454D-85E7-10E46A3D7D96}">
      <formula1>"2027,2028,2029,2030"</formula1>
    </dataValidation>
    <dataValidation type="list" allowBlank="1" showInputMessage="1" showErrorMessage="1" sqref="J6:J42" xr:uid="{4075F2E9-52E4-4302-AF4F-31CDFC0715D3}">
      <formula1>"1,2,3,4,5,6,7,8,9,10,11,12"</formula1>
    </dataValidation>
    <dataValidation type="list" allowBlank="1" showInputMessage="1" showErrorMessage="1" sqref="F2:F5 F17:F35" xr:uid="{03AD463F-2CD4-415F-AB74-31FDC9D22EF2}">
      <formula1>#REF!</formula1>
    </dataValidation>
  </dataValidations>
  <pageMargins left="0.7" right="0.7" top="0.75" bottom="0.75" header="0.3" footer="0.3"/>
  <pageSetup paperSize="9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A3B045-0576-4A70-AD96-60E73C418A6D}">
          <x14:formula1>
            <xm:f>Categorias!$A$1:$A$21</xm:f>
          </x14:formula1>
          <xm:sqref>H6:H42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5475F-0824-4356-8796-EF5E5E9372B1}">
  <dimension ref="A1:T56"/>
  <sheetViews>
    <sheetView tabSelected="1" topLeftCell="P34" zoomScale="139" zoomScaleNormal="60" workbookViewId="0">
      <selection activeCell="S41" sqref="S41"/>
    </sheetView>
  </sheetViews>
  <sheetFormatPr defaultColWidth="8.88671875" defaultRowHeight="14.4"/>
  <cols>
    <col min="2" max="2" width="12.6640625" customWidth="1"/>
    <col min="3" max="3" width="8.44140625" customWidth="1"/>
    <col min="4" max="4" width="16.109375" customWidth="1"/>
    <col min="5" max="5" width="14.33203125" customWidth="1"/>
    <col min="6" max="6" width="18.33203125" customWidth="1"/>
    <col min="7" max="7" width="71.5546875" bestFit="1" customWidth="1"/>
    <col min="8" max="9" width="38.44140625" customWidth="1"/>
    <col min="12" max="12" width="12.44140625" bestFit="1" customWidth="1"/>
    <col min="14" max="14" width="35.109375" customWidth="1"/>
    <col min="15" max="15" width="73.5546875" style="36" customWidth="1"/>
    <col min="16" max="16" width="89.88671875" bestFit="1" customWidth="1"/>
    <col min="17" max="17" width="17.6640625" bestFit="1" customWidth="1"/>
    <col min="18" max="18" width="12.88671875" customWidth="1"/>
    <col min="19" max="19" width="13.109375" customWidth="1"/>
    <col min="20" max="20" width="16.109375" bestFit="1" customWidth="1"/>
  </cols>
  <sheetData>
    <row r="1" spans="1:15">
      <c r="A1" s="1" t="s">
        <v>21</v>
      </c>
      <c r="B1" s="1" t="s">
        <v>102</v>
      </c>
      <c r="C1" s="1" t="s">
        <v>67</v>
      </c>
      <c r="D1" s="1" t="s">
        <v>22</v>
      </c>
      <c r="E1" s="1" t="s">
        <v>70</v>
      </c>
      <c r="F1" s="38" t="s">
        <v>103</v>
      </c>
      <c r="G1" s="38" t="s">
        <v>104</v>
      </c>
      <c r="H1" s="38" t="s">
        <v>105</v>
      </c>
      <c r="I1" s="38"/>
      <c r="J1" s="38" t="s">
        <v>106</v>
      </c>
      <c r="K1" s="38" t="s">
        <v>107</v>
      </c>
      <c r="L1" s="39" t="s">
        <v>108</v>
      </c>
      <c r="M1" s="40" t="s">
        <v>109</v>
      </c>
      <c r="N1" s="54"/>
      <c r="O1" s="41" t="s">
        <v>124</v>
      </c>
    </row>
    <row r="2" spans="1:15">
      <c r="A2" s="10"/>
      <c r="B2" s="10"/>
      <c r="C2" s="10"/>
      <c r="D2" s="10"/>
      <c r="E2" s="10"/>
      <c r="F2" s="10"/>
      <c r="G2" s="10"/>
      <c r="H2" s="10" t="s">
        <v>110</v>
      </c>
      <c r="I2" s="10"/>
      <c r="J2" s="10">
        <v>2027</v>
      </c>
      <c r="K2" s="10"/>
      <c r="L2" s="10">
        <f>Pessoal_CAP!L90</f>
        <v>120862.53583000004</v>
      </c>
      <c r="M2" s="10"/>
      <c r="N2" s="55"/>
    </row>
    <row r="3" spans="1:15">
      <c r="A3" s="10"/>
      <c r="B3" s="10"/>
      <c r="C3" s="10"/>
      <c r="D3" s="10"/>
      <c r="E3" s="10"/>
      <c r="F3" s="10"/>
      <c r="G3" s="10"/>
      <c r="H3" s="10" t="s">
        <v>110</v>
      </c>
      <c r="I3" s="10"/>
      <c r="J3" s="10">
        <v>2028</v>
      </c>
      <c r="K3" s="10"/>
      <c r="L3" s="10">
        <f>Pessoal_CAP!M90</f>
        <v>173146.7656190909</v>
      </c>
      <c r="M3" s="10"/>
      <c r="N3" s="55"/>
    </row>
    <row r="4" spans="1:15">
      <c r="A4" s="10"/>
      <c r="B4" s="10"/>
      <c r="C4" s="10"/>
      <c r="D4" s="10"/>
      <c r="E4" s="10"/>
      <c r="F4" s="10"/>
      <c r="G4" s="10"/>
      <c r="H4" s="10" t="s">
        <v>110</v>
      </c>
      <c r="I4" s="10"/>
      <c r="J4" s="10">
        <v>2029</v>
      </c>
      <c r="K4" s="10"/>
      <c r="L4" s="10">
        <f>Pessoal_CAP!N90</f>
        <v>179806.90897636366</v>
      </c>
      <c r="M4" s="10"/>
      <c r="N4" s="55"/>
    </row>
    <row r="5" spans="1:15" ht="15" thickBot="1">
      <c r="A5" s="10"/>
      <c r="B5" s="10"/>
      <c r="C5" s="10"/>
      <c r="D5" s="10"/>
      <c r="E5" s="10"/>
      <c r="F5" s="10"/>
      <c r="G5" s="10"/>
      <c r="H5" s="10" t="s">
        <v>110</v>
      </c>
      <c r="I5" s="10"/>
      <c r="J5" s="10">
        <v>2030</v>
      </c>
      <c r="K5" s="10"/>
      <c r="L5" s="10">
        <f>[2]Pessoal_CAP!O82</f>
        <v>0</v>
      </c>
      <c r="M5" s="10"/>
      <c r="N5" s="55"/>
    </row>
    <row r="6" spans="1:15" ht="43.8" thickBot="1">
      <c r="A6" s="4"/>
      <c r="B6" s="4"/>
      <c r="C6" s="4"/>
      <c r="D6" s="4"/>
      <c r="E6" s="46" t="s">
        <v>93</v>
      </c>
      <c r="F6" s="49" t="s">
        <v>120</v>
      </c>
      <c r="G6" s="56" t="s">
        <v>156</v>
      </c>
      <c r="H6" s="46" t="s">
        <v>16</v>
      </c>
      <c r="I6" s="46" t="s">
        <v>125</v>
      </c>
      <c r="J6" s="46">
        <v>2027</v>
      </c>
      <c r="K6" s="46">
        <v>1</v>
      </c>
      <c r="L6" s="48">
        <v>1000</v>
      </c>
      <c r="M6" s="51">
        <f>28*2</f>
        <v>56</v>
      </c>
      <c r="N6" s="55"/>
      <c r="O6" s="36" t="s">
        <v>126</v>
      </c>
    </row>
    <row r="7" spans="1:15" ht="82.2" customHeight="1" thickBot="1">
      <c r="A7" s="4"/>
      <c r="B7" s="4"/>
      <c r="C7" s="4"/>
      <c r="D7" s="4"/>
      <c r="E7" s="46" t="s">
        <v>93</v>
      </c>
      <c r="F7" s="50" t="s">
        <v>119</v>
      </c>
      <c r="G7" s="58" t="s">
        <v>158</v>
      </c>
      <c r="H7" s="47" t="s">
        <v>16</v>
      </c>
      <c r="I7" s="47" t="s">
        <v>125</v>
      </c>
      <c r="J7" s="47">
        <v>2027</v>
      </c>
      <c r="K7" s="47">
        <v>1</v>
      </c>
      <c r="L7" s="47">
        <v>1000</v>
      </c>
      <c r="M7" s="51">
        <f>28*2</f>
        <v>56</v>
      </c>
      <c r="N7" s="55"/>
      <c r="O7" s="42" t="s">
        <v>157</v>
      </c>
    </row>
    <row r="8" spans="1:15" ht="29.4" thickBot="1">
      <c r="A8" s="4"/>
      <c r="B8" s="4"/>
      <c r="C8" s="4"/>
      <c r="D8" s="4"/>
      <c r="E8" s="46" t="s">
        <v>93</v>
      </c>
      <c r="F8" s="49" t="s">
        <v>121</v>
      </c>
      <c r="G8" s="56" t="s">
        <v>159</v>
      </c>
      <c r="H8" s="46" t="s">
        <v>1</v>
      </c>
      <c r="I8" s="46">
        <v>0</v>
      </c>
      <c r="J8" s="46">
        <v>2027</v>
      </c>
      <c r="K8" s="46">
        <v>3</v>
      </c>
      <c r="L8" s="46">
        <v>7450</v>
      </c>
      <c r="M8" s="46">
        <v>7450</v>
      </c>
      <c r="N8" s="55"/>
      <c r="O8" s="37" t="s">
        <v>127</v>
      </c>
    </row>
    <row r="9" spans="1:15" ht="29.4" thickBot="1">
      <c r="A9" s="4"/>
      <c r="B9" s="4"/>
      <c r="C9" s="4"/>
      <c r="D9" s="4"/>
      <c r="E9" s="46" t="s">
        <v>93</v>
      </c>
      <c r="F9" s="50" t="s">
        <v>121</v>
      </c>
      <c r="G9" s="58" t="s">
        <v>159</v>
      </c>
      <c r="H9" s="47" t="s">
        <v>1</v>
      </c>
      <c r="I9" s="47">
        <v>0</v>
      </c>
      <c r="J9" s="47">
        <v>2028</v>
      </c>
      <c r="K9" s="47">
        <v>1</v>
      </c>
      <c r="L9" s="47">
        <v>7400</v>
      </c>
      <c r="M9" s="47">
        <v>7400</v>
      </c>
      <c r="N9" s="55"/>
      <c r="O9" s="42" t="s">
        <v>127</v>
      </c>
    </row>
    <row r="10" spans="1:15" ht="67.5" customHeight="1" thickBot="1">
      <c r="A10" s="4"/>
      <c r="B10" s="4"/>
      <c r="C10" s="4"/>
      <c r="D10" s="4"/>
      <c r="E10" s="46" t="s">
        <v>93</v>
      </c>
      <c r="F10" s="49" t="s">
        <v>122</v>
      </c>
      <c r="G10" s="56" t="s">
        <v>160</v>
      </c>
      <c r="H10" s="46" t="s">
        <v>1</v>
      </c>
      <c r="I10" s="46">
        <v>0</v>
      </c>
      <c r="J10" s="46">
        <v>2029</v>
      </c>
      <c r="K10" s="46">
        <v>1</v>
      </c>
      <c r="L10" s="46">
        <v>2000</v>
      </c>
      <c r="M10" s="46">
        <v>2000</v>
      </c>
      <c r="N10" s="55"/>
      <c r="O10" s="36" t="s">
        <v>128</v>
      </c>
    </row>
    <row r="11" spans="1:15" ht="58.2" thickBot="1">
      <c r="A11" s="4"/>
      <c r="B11" s="4"/>
      <c r="C11" s="4"/>
      <c r="D11" s="4"/>
      <c r="E11" s="46" t="s">
        <v>93</v>
      </c>
      <c r="F11" s="50" t="s">
        <v>121</v>
      </c>
      <c r="G11" s="58" t="s">
        <v>161</v>
      </c>
      <c r="H11" s="47" t="s">
        <v>2</v>
      </c>
      <c r="I11" s="47">
        <v>0</v>
      </c>
      <c r="J11" s="47">
        <v>2027</v>
      </c>
      <c r="K11" s="47">
        <v>3</v>
      </c>
      <c r="L11" s="47">
        <v>6500</v>
      </c>
      <c r="M11" s="47">
        <v>6500</v>
      </c>
      <c r="N11" s="55"/>
      <c r="O11" s="42" t="s">
        <v>129</v>
      </c>
    </row>
    <row r="12" spans="1:15" ht="58.2" thickBot="1">
      <c r="A12" s="4"/>
      <c r="B12" s="4"/>
      <c r="C12" s="4"/>
      <c r="D12" s="4"/>
      <c r="E12" s="46" t="s">
        <v>93</v>
      </c>
      <c r="F12" s="49" t="s">
        <v>121</v>
      </c>
      <c r="G12" s="56" t="s">
        <v>161</v>
      </c>
      <c r="H12" s="46" t="s">
        <v>2</v>
      </c>
      <c r="I12" s="46">
        <v>0</v>
      </c>
      <c r="J12" s="46">
        <v>2028</v>
      </c>
      <c r="K12" s="46">
        <v>1</v>
      </c>
      <c r="L12" s="46">
        <v>6000</v>
      </c>
      <c r="M12" s="46">
        <v>6000</v>
      </c>
      <c r="N12" s="55"/>
      <c r="O12" s="36" t="s">
        <v>129</v>
      </c>
    </row>
    <row r="13" spans="1:15" ht="58.2" thickBot="1">
      <c r="A13" s="4"/>
      <c r="B13" s="4"/>
      <c r="C13" s="4"/>
      <c r="D13" s="4"/>
      <c r="E13" s="46" t="s">
        <v>93</v>
      </c>
      <c r="F13" s="50" t="s">
        <v>122</v>
      </c>
      <c r="G13" s="58" t="s">
        <v>161</v>
      </c>
      <c r="H13" s="47" t="s">
        <v>2</v>
      </c>
      <c r="I13" s="47">
        <v>0</v>
      </c>
      <c r="J13" s="47">
        <v>2029</v>
      </c>
      <c r="K13" s="47">
        <v>1</v>
      </c>
      <c r="L13" s="47">
        <v>2000</v>
      </c>
      <c r="M13" s="47">
        <v>2000</v>
      </c>
      <c r="N13" s="55"/>
      <c r="O13" s="42" t="s">
        <v>130</v>
      </c>
    </row>
    <row r="14" spans="1:15" ht="43.8" thickBot="1">
      <c r="A14" s="4"/>
      <c r="B14" s="4"/>
      <c r="C14" s="4"/>
      <c r="D14" s="4"/>
      <c r="E14" s="46" t="s">
        <v>93</v>
      </c>
      <c r="F14" s="49" t="s">
        <v>121</v>
      </c>
      <c r="G14" s="56" t="s">
        <v>162</v>
      </c>
      <c r="H14" s="52" t="s">
        <v>10</v>
      </c>
      <c r="I14" s="46">
        <v>0</v>
      </c>
      <c r="J14" s="46">
        <v>2027</v>
      </c>
      <c r="K14" s="46">
        <v>3</v>
      </c>
      <c r="L14" s="46">
        <v>35000</v>
      </c>
      <c r="M14" s="46">
        <v>35000</v>
      </c>
      <c r="N14" s="55"/>
      <c r="O14" s="36" t="s">
        <v>131</v>
      </c>
    </row>
    <row r="15" spans="1:15" ht="29.4" thickBot="1">
      <c r="A15" s="4"/>
      <c r="B15" s="4"/>
      <c r="C15" s="4"/>
      <c r="D15" s="4"/>
      <c r="E15" s="46" t="s">
        <v>93</v>
      </c>
      <c r="F15" s="50" t="s">
        <v>121</v>
      </c>
      <c r="G15" s="58" t="s">
        <v>163</v>
      </c>
      <c r="H15" s="47" t="s">
        <v>7</v>
      </c>
      <c r="I15" s="47">
        <v>0</v>
      </c>
      <c r="J15" s="47">
        <v>2027</v>
      </c>
      <c r="K15" s="47">
        <v>3</v>
      </c>
      <c r="L15" s="47">
        <v>6000</v>
      </c>
      <c r="M15" s="61">
        <v>7000</v>
      </c>
      <c r="N15" s="55"/>
      <c r="O15" s="42" t="s">
        <v>139</v>
      </c>
    </row>
    <row r="16" spans="1:15" ht="15" thickBot="1">
      <c r="A16" s="4"/>
      <c r="B16" s="4"/>
      <c r="C16" s="4"/>
      <c r="D16" s="4"/>
      <c r="E16" s="46" t="s">
        <v>93</v>
      </c>
      <c r="F16" s="49" t="s">
        <v>123</v>
      </c>
      <c r="G16" s="57" t="s">
        <v>132</v>
      </c>
      <c r="H16" s="46" t="s">
        <v>14</v>
      </c>
      <c r="I16" s="46">
        <v>0</v>
      </c>
      <c r="J16" s="46">
        <v>2028</v>
      </c>
      <c r="K16" s="46">
        <v>1</v>
      </c>
      <c r="L16" s="46">
        <v>2400</v>
      </c>
      <c r="M16" s="46">
        <v>2400</v>
      </c>
      <c r="N16" s="55"/>
      <c r="O16" s="36" t="s">
        <v>132</v>
      </c>
    </row>
    <row r="17" spans="1:17" ht="15" thickBot="1">
      <c r="A17" s="4"/>
      <c r="B17" s="4"/>
      <c r="C17" s="4"/>
      <c r="D17" s="4"/>
      <c r="E17" s="46" t="s">
        <v>93</v>
      </c>
      <c r="F17" s="50" t="s">
        <v>123</v>
      </c>
      <c r="G17" s="47" t="s">
        <v>142</v>
      </c>
      <c r="H17" s="47" t="s">
        <v>14</v>
      </c>
      <c r="I17" s="47">
        <v>0</v>
      </c>
      <c r="J17" s="47">
        <v>2029</v>
      </c>
      <c r="K17" s="47">
        <v>1</v>
      </c>
      <c r="L17" s="47">
        <v>3600</v>
      </c>
      <c r="M17" s="47">
        <v>3600</v>
      </c>
      <c r="N17" s="55"/>
      <c r="O17" s="42" t="s">
        <v>142</v>
      </c>
    </row>
    <row r="18" spans="1:17" ht="15" thickBot="1">
      <c r="A18" s="4"/>
      <c r="B18" s="4"/>
      <c r="C18" s="4"/>
      <c r="D18" s="4"/>
      <c r="E18" s="46" t="s">
        <v>93</v>
      </c>
      <c r="F18" s="49" t="s">
        <v>122</v>
      </c>
      <c r="G18" s="56" t="s">
        <v>133</v>
      </c>
      <c r="H18" s="46" t="s">
        <v>16</v>
      </c>
      <c r="I18" s="46" t="s">
        <v>125</v>
      </c>
      <c r="J18" s="46">
        <v>2028</v>
      </c>
      <c r="K18" s="46">
        <v>1</v>
      </c>
      <c r="L18" s="46">
        <v>1500</v>
      </c>
      <c r="M18" s="51">
        <f>28*2</f>
        <v>56</v>
      </c>
      <c r="N18" s="55"/>
      <c r="O18" s="36" t="s">
        <v>133</v>
      </c>
    </row>
    <row r="19" spans="1:17" ht="29.4" thickBot="1">
      <c r="A19" s="4"/>
      <c r="B19" s="4"/>
      <c r="C19" s="4"/>
      <c r="D19" s="4"/>
      <c r="E19" s="46" t="s">
        <v>93</v>
      </c>
      <c r="F19" s="50" t="s">
        <v>122</v>
      </c>
      <c r="G19" s="58" t="s">
        <v>133</v>
      </c>
      <c r="H19" s="47" t="s">
        <v>16</v>
      </c>
      <c r="I19" s="47" t="s">
        <v>125</v>
      </c>
      <c r="J19" s="47">
        <v>2029</v>
      </c>
      <c r="K19" s="47">
        <v>1</v>
      </c>
      <c r="L19" s="47">
        <v>2500</v>
      </c>
      <c r="M19" s="51">
        <f>28*2</f>
        <v>56</v>
      </c>
      <c r="N19" s="55"/>
      <c r="O19" s="42" t="s">
        <v>134</v>
      </c>
    </row>
    <row r="20" spans="1:17" ht="15" thickBot="1">
      <c r="A20" s="4"/>
      <c r="B20" s="4"/>
      <c r="C20" s="4"/>
      <c r="D20" s="4"/>
      <c r="E20" s="46" t="s">
        <v>93</v>
      </c>
      <c r="F20" s="49" t="s">
        <v>123</v>
      </c>
      <c r="G20" s="57" t="s">
        <v>164</v>
      </c>
      <c r="H20" s="46" t="s">
        <v>16</v>
      </c>
      <c r="I20" s="46" t="s">
        <v>135</v>
      </c>
      <c r="J20" s="46">
        <v>2028</v>
      </c>
      <c r="K20" s="46">
        <v>1</v>
      </c>
      <c r="L20" s="46">
        <v>1500</v>
      </c>
      <c r="M20" s="51">
        <f>309*2</f>
        <v>618</v>
      </c>
      <c r="N20" s="59" t="s">
        <v>173</v>
      </c>
      <c r="O20" s="36" t="s">
        <v>136</v>
      </c>
      <c r="P20" t="s">
        <v>144</v>
      </c>
    </row>
    <row r="21" spans="1:17" ht="15" thickBot="1">
      <c r="A21" s="4"/>
      <c r="B21" s="4"/>
      <c r="C21" s="4"/>
      <c r="D21" s="4"/>
      <c r="E21" s="46" t="s">
        <v>93</v>
      </c>
      <c r="F21" s="50" t="s">
        <v>123</v>
      </c>
      <c r="G21" s="47" t="s">
        <v>165</v>
      </c>
      <c r="H21" s="47" t="s">
        <v>16</v>
      </c>
      <c r="I21" s="47" t="s">
        <v>125</v>
      </c>
      <c r="J21" s="47">
        <v>2028</v>
      </c>
      <c r="K21" s="47">
        <v>1</v>
      </c>
      <c r="L21" s="47">
        <v>750</v>
      </c>
      <c r="M21" s="51">
        <f>309*2</f>
        <v>618</v>
      </c>
      <c r="N21" s="59" t="s">
        <v>173</v>
      </c>
      <c r="O21" s="42" t="s">
        <v>137</v>
      </c>
      <c r="P21" s="25" t="s">
        <v>145</v>
      </c>
    </row>
    <row r="22" spans="1:17" ht="29.4" thickBot="1">
      <c r="A22" s="4"/>
      <c r="B22" s="4"/>
      <c r="C22" s="4"/>
      <c r="D22" s="4"/>
      <c r="E22" s="46" t="s">
        <v>93</v>
      </c>
      <c r="F22" s="49" t="s">
        <v>123</v>
      </c>
      <c r="G22" s="58" t="s">
        <v>168</v>
      </c>
      <c r="H22" s="46" t="s">
        <v>16</v>
      </c>
      <c r="I22" s="46" t="s">
        <v>135</v>
      </c>
      <c r="J22" s="46">
        <v>2029</v>
      </c>
      <c r="K22" s="46">
        <v>1</v>
      </c>
      <c r="L22" s="46">
        <v>3600</v>
      </c>
      <c r="M22" s="51">
        <f>1735*3</f>
        <v>5205</v>
      </c>
      <c r="N22" s="59" t="s">
        <v>150</v>
      </c>
      <c r="O22" s="36" t="s">
        <v>136</v>
      </c>
      <c r="P22" t="s">
        <v>146</v>
      </c>
    </row>
    <row r="23" spans="1:17" ht="15" thickBot="1">
      <c r="A23" s="4"/>
      <c r="B23" s="4"/>
      <c r="C23" s="4"/>
      <c r="D23" s="4"/>
      <c r="E23" s="46" t="s">
        <v>93</v>
      </c>
      <c r="F23" s="50" t="s">
        <v>123</v>
      </c>
      <c r="G23" s="47" t="s">
        <v>166</v>
      </c>
      <c r="H23" s="47" t="s">
        <v>16</v>
      </c>
      <c r="I23" s="47" t="s">
        <v>125</v>
      </c>
      <c r="J23" s="47">
        <v>2029</v>
      </c>
      <c r="K23" s="47">
        <v>1</v>
      </c>
      <c r="L23" s="47">
        <v>1100</v>
      </c>
      <c r="M23" s="51">
        <f>211*2</f>
        <v>422</v>
      </c>
      <c r="N23" s="59" t="s">
        <v>174</v>
      </c>
      <c r="O23" s="42" t="s">
        <v>137</v>
      </c>
      <c r="P23" s="25" t="s">
        <v>147</v>
      </c>
    </row>
    <row r="24" spans="1:17" ht="29.4" thickBot="1">
      <c r="A24" s="4"/>
      <c r="B24" s="4"/>
      <c r="C24" s="4"/>
      <c r="D24" s="4"/>
      <c r="E24" s="46" t="s">
        <v>93</v>
      </c>
      <c r="F24" s="49" t="s">
        <v>123</v>
      </c>
      <c r="G24" s="58" t="s">
        <v>169</v>
      </c>
      <c r="H24" s="46" t="s">
        <v>17</v>
      </c>
      <c r="I24" s="46" t="s">
        <v>135</v>
      </c>
      <c r="J24" s="46">
        <v>2028</v>
      </c>
      <c r="K24" s="46">
        <v>1</v>
      </c>
      <c r="L24" s="46">
        <v>2750</v>
      </c>
      <c r="M24" s="51">
        <f>(334*5)*2</f>
        <v>3340</v>
      </c>
      <c r="N24" s="59" t="s">
        <v>173</v>
      </c>
      <c r="O24" s="36" t="s">
        <v>136</v>
      </c>
      <c r="P24" t="s">
        <v>140</v>
      </c>
    </row>
    <row r="25" spans="1:17" ht="29.4" thickBot="1">
      <c r="A25" s="4"/>
      <c r="B25" s="4"/>
      <c r="C25" s="4"/>
      <c r="D25" s="4"/>
      <c r="E25" s="46" t="s">
        <v>93</v>
      </c>
      <c r="F25" s="50" t="s">
        <v>123</v>
      </c>
      <c r="G25" s="56" t="s">
        <v>170</v>
      </c>
      <c r="H25" s="47" t="s">
        <v>17</v>
      </c>
      <c r="I25" s="47" t="s">
        <v>125</v>
      </c>
      <c r="J25" s="47">
        <v>2028</v>
      </c>
      <c r="K25" s="47">
        <v>1</v>
      </c>
      <c r="L25" s="47">
        <v>1100</v>
      </c>
      <c r="M25" s="51">
        <f>(334*3)*2</f>
        <v>2004</v>
      </c>
      <c r="N25" s="59" t="s">
        <v>173</v>
      </c>
      <c r="O25" s="42" t="s">
        <v>137</v>
      </c>
      <c r="P25" s="25" t="s">
        <v>141</v>
      </c>
    </row>
    <row r="26" spans="1:17" ht="29.4" thickBot="1">
      <c r="A26" s="4"/>
      <c r="B26" s="4"/>
      <c r="C26" s="4"/>
      <c r="D26" s="4"/>
      <c r="E26" s="46" t="s">
        <v>93</v>
      </c>
      <c r="F26" s="49" t="s">
        <v>123</v>
      </c>
      <c r="G26" s="56" t="s">
        <v>171</v>
      </c>
      <c r="H26" s="46" t="s">
        <v>17</v>
      </c>
      <c r="I26" s="46" t="s">
        <v>135</v>
      </c>
      <c r="J26" s="46">
        <v>2029</v>
      </c>
      <c r="K26" s="46">
        <v>1</v>
      </c>
      <c r="L26" s="46">
        <v>3750</v>
      </c>
      <c r="M26" s="51">
        <f>(280*5)*3</f>
        <v>4200</v>
      </c>
      <c r="N26" s="59" t="s">
        <v>150</v>
      </c>
      <c r="O26" s="36" t="s">
        <v>136</v>
      </c>
      <c r="P26" t="s">
        <v>143</v>
      </c>
    </row>
    <row r="27" spans="1:17" ht="29.4" thickBot="1">
      <c r="A27" s="4"/>
      <c r="B27" s="4"/>
      <c r="C27" s="4"/>
      <c r="D27" s="4"/>
      <c r="E27" s="46" t="s">
        <v>93</v>
      </c>
      <c r="F27" s="50" t="s">
        <v>123</v>
      </c>
      <c r="G27" s="58" t="s">
        <v>172</v>
      </c>
      <c r="H27" s="47" t="s">
        <v>17</v>
      </c>
      <c r="I27" s="47" t="s">
        <v>125</v>
      </c>
      <c r="J27" s="47">
        <v>2029</v>
      </c>
      <c r="K27" s="47">
        <v>1</v>
      </c>
      <c r="L27" s="47">
        <v>1100</v>
      </c>
      <c r="M27" s="51">
        <f>(192*3)*2</f>
        <v>1152</v>
      </c>
      <c r="N27" s="59" t="s">
        <v>174</v>
      </c>
      <c r="O27" s="42" t="s">
        <v>137</v>
      </c>
      <c r="P27" s="25" t="s">
        <v>141</v>
      </c>
    </row>
    <row r="28" spans="1:17" ht="15" thickBot="1">
      <c r="A28" s="4"/>
      <c r="B28" s="4"/>
      <c r="C28" s="4"/>
      <c r="D28" s="4"/>
      <c r="E28" s="46" t="s">
        <v>93</v>
      </c>
      <c r="F28" s="49" t="s">
        <v>123</v>
      </c>
      <c r="G28" s="57" t="s">
        <v>167</v>
      </c>
      <c r="H28" s="46" t="s">
        <v>13</v>
      </c>
      <c r="I28" s="46"/>
      <c r="J28" s="46">
        <v>2028</v>
      </c>
      <c r="K28" s="46">
        <v>1</v>
      </c>
      <c r="L28" s="66">
        <v>3000</v>
      </c>
      <c r="M28" s="60">
        <v>4000</v>
      </c>
      <c r="N28" s="55"/>
      <c r="O28" s="36" t="s">
        <v>138</v>
      </c>
    </row>
    <row r="29" spans="1:17" ht="15" thickBot="1">
      <c r="A29" s="4"/>
      <c r="B29" s="4"/>
      <c r="C29" s="4"/>
      <c r="D29" s="4"/>
      <c r="E29" s="46" t="s">
        <v>93</v>
      </c>
      <c r="F29" s="50" t="s">
        <v>123</v>
      </c>
      <c r="G29" s="47" t="s">
        <v>167</v>
      </c>
      <c r="H29" s="47" t="s">
        <v>13</v>
      </c>
      <c r="I29" s="47"/>
      <c r="J29" s="47">
        <v>2029</v>
      </c>
      <c r="K29" s="47">
        <v>1</v>
      </c>
      <c r="L29" s="67">
        <v>3000</v>
      </c>
      <c r="M29" s="61">
        <v>4900</v>
      </c>
      <c r="N29" s="55"/>
      <c r="O29" s="42" t="s">
        <v>138</v>
      </c>
    </row>
    <row r="30" spans="1:17" ht="15" thickBot="1">
      <c r="A30" s="4"/>
      <c r="B30" s="4"/>
      <c r="C30" s="4"/>
      <c r="D30" s="4"/>
      <c r="E30" s="4"/>
      <c r="F30" s="23"/>
      <c r="G30" s="4"/>
      <c r="H30" s="4"/>
      <c r="I30" s="4"/>
      <c r="J30" s="4"/>
      <c r="K30" s="4"/>
      <c r="L30" s="4"/>
      <c r="M30" s="46"/>
      <c r="N30" s="55"/>
    </row>
    <row r="31" spans="1:17" ht="15" thickBot="1">
      <c r="A31" s="4"/>
      <c r="B31" s="4"/>
      <c r="C31" s="4"/>
      <c r="D31" s="4"/>
      <c r="E31" s="4"/>
      <c r="F31" s="23"/>
      <c r="G31" s="4"/>
      <c r="H31" s="4"/>
      <c r="I31" s="4"/>
      <c r="J31" s="4"/>
      <c r="K31" s="4"/>
      <c r="L31" s="4"/>
      <c r="M31" s="46"/>
      <c r="P31" s="71" t="s">
        <v>117</v>
      </c>
      <c r="Q31" s="71"/>
    </row>
    <row r="32" spans="1:17" ht="15" thickBot="1">
      <c r="A32" s="4"/>
      <c r="B32" s="4"/>
      <c r="C32" s="4"/>
      <c r="D32" s="4"/>
      <c r="E32" s="4"/>
      <c r="F32" s="23"/>
      <c r="G32" s="4"/>
      <c r="H32" s="4"/>
      <c r="I32" s="4"/>
      <c r="J32" s="4"/>
      <c r="K32" s="4"/>
      <c r="L32" s="46">
        <f>SUM(L6:L29)</f>
        <v>106000</v>
      </c>
      <c r="M32" s="46">
        <f>SUM(M6:M29)</f>
        <v>106033</v>
      </c>
      <c r="P32" s="13">
        <v>2027</v>
      </c>
      <c r="Q32" s="12">
        <f>SUMIFS($L$2:$L$55,$J$2:$J$55,P32)</f>
        <v>190259.41333810004</v>
      </c>
    </row>
    <row r="33" spans="1:20" ht="15" thickBot="1">
      <c r="A33" s="4"/>
      <c r="B33" s="4"/>
      <c r="C33" s="4"/>
      <c r="D33" s="4"/>
      <c r="E33" s="4"/>
      <c r="F33" s="23"/>
      <c r="G33" s="4"/>
      <c r="H33" s="4"/>
      <c r="I33" s="4"/>
      <c r="J33" s="4"/>
      <c r="K33" s="4"/>
      <c r="L33" s="4"/>
      <c r="M33" s="46"/>
      <c r="P33" s="13">
        <v>2028</v>
      </c>
      <c r="Q33" s="12">
        <f>SUMIFS($L$2:$L$55,$J$2:$J$55,P33)</f>
        <v>213515.03921242728</v>
      </c>
    </row>
    <row r="34" spans="1:20" ht="15" thickBot="1">
      <c r="A34" s="4"/>
      <c r="B34" s="4"/>
      <c r="C34" s="4"/>
      <c r="D34" s="4"/>
      <c r="E34" s="4"/>
      <c r="F34" s="23"/>
      <c r="G34" s="4"/>
      <c r="H34" s="4"/>
      <c r="I34" s="4"/>
      <c r="J34" s="4"/>
      <c r="K34" s="4"/>
      <c r="L34" s="4"/>
      <c r="M34" s="46"/>
      <c r="P34" s="13">
        <v>2029</v>
      </c>
      <c r="Q34" s="12">
        <f>SUMIFS($L$2:$L$55,$J$2:$J$55,P34)</f>
        <v>216628.89260470911</v>
      </c>
    </row>
    <row r="35" spans="1:20" ht="15" thickBot="1">
      <c r="A35" s="4"/>
      <c r="B35" s="4"/>
      <c r="C35" s="4"/>
      <c r="D35" s="4"/>
      <c r="E35" s="4"/>
      <c r="F35" s="23"/>
      <c r="G35" s="4"/>
      <c r="H35" s="4"/>
      <c r="I35" s="4"/>
      <c r="J35" s="4"/>
      <c r="K35" s="4"/>
      <c r="L35" s="4"/>
      <c r="M35" s="46"/>
      <c r="P35" s="15">
        <v>2030</v>
      </c>
      <c r="Q35" s="16">
        <f>SUMIFS($L$2:$L$55,$J$2:$J$55,P35)</f>
        <v>0</v>
      </c>
    </row>
    <row r="36" spans="1:20" ht="15" thickBot="1">
      <c r="A36" s="4"/>
      <c r="B36" s="4"/>
      <c r="C36" s="4"/>
      <c r="D36" s="4"/>
      <c r="E36" s="4"/>
      <c r="F36" s="23"/>
      <c r="G36" s="4"/>
      <c r="H36" s="4"/>
      <c r="I36" s="4"/>
      <c r="J36" s="4"/>
      <c r="K36" s="4"/>
      <c r="L36" s="4"/>
      <c r="M36" s="46"/>
      <c r="P36" s="14" t="s">
        <v>92</v>
      </c>
      <c r="Q36" s="14">
        <f>SUM(Q32:Q35)</f>
        <v>620403.34515523643</v>
      </c>
    </row>
    <row r="37" spans="1:20" ht="15" thickBot="1">
      <c r="A37" s="4"/>
      <c r="B37" s="4"/>
      <c r="C37" s="4"/>
      <c r="D37" s="4"/>
      <c r="E37" s="4"/>
      <c r="F37" s="23"/>
      <c r="G37" s="4"/>
      <c r="H37" s="4"/>
      <c r="I37" s="4"/>
      <c r="J37" s="4"/>
      <c r="K37" s="4"/>
      <c r="L37" s="4"/>
      <c r="M37" s="4"/>
    </row>
    <row r="38" spans="1:20">
      <c r="A38" s="4"/>
      <c r="B38" s="4"/>
      <c r="C38" s="4"/>
      <c r="D38" s="4"/>
      <c r="E38" s="4"/>
      <c r="F38" s="23"/>
      <c r="G38" s="4"/>
      <c r="H38" s="4"/>
      <c r="I38" s="4"/>
      <c r="J38" s="4"/>
      <c r="K38" s="4"/>
      <c r="L38" s="4"/>
      <c r="M38" s="4"/>
    </row>
    <row r="39" spans="1:20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2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20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20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20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20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Q44" s="70">
        <f>Q36+Custos_SYSTEM!W26</f>
        <v>1592109.2503659367</v>
      </c>
      <c r="R44">
        <v>1592109.2503659367</v>
      </c>
    </row>
    <row r="45" spans="1:20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Q45" s="70">
        <f>Q44-Q36</f>
        <v>971705.90521070024</v>
      </c>
      <c r="R45">
        <v>971705.90521070024</v>
      </c>
    </row>
    <row r="46" spans="1:20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Q46">
        <v>1592801.54</v>
      </c>
      <c r="R46">
        <v>1592801.54</v>
      </c>
    </row>
    <row r="47" spans="1:20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Q47">
        <f>Q46-Q36</f>
        <v>972398.19484476361</v>
      </c>
      <c r="R47">
        <v>972398.19</v>
      </c>
      <c r="S47">
        <v>620403.35</v>
      </c>
      <c r="T47" s="70">
        <f>S47+R47</f>
        <v>1592801.54</v>
      </c>
    </row>
    <row r="48" spans="1:20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Q48" s="70">
        <f>Q47-Q45</f>
        <v>692.28963406337425</v>
      </c>
      <c r="R48">
        <v>692.28963406337425</v>
      </c>
      <c r="T48" s="72"/>
    </row>
    <row r="49" spans="1:20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R49">
        <f>R47-15*R47/100</f>
        <v>826538.46149999998</v>
      </c>
      <c r="S49">
        <f t="shared" ref="S49:T49" si="0">S47-15*S47/100</f>
        <v>527342.84749999992</v>
      </c>
      <c r="T49">
        <f t="shared" si="0"/>
        <v>1353881.3089999999</v>
      </c>
    </row>
    <row r="50" spans="1:2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20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20">
      <c r="A52" s="10"/>
      <c r="B52" s="10"/>
      <c r="C52" s="10"/>
      <c r="D52" s="10"/>
      <c r="E52" s="10"/>
      <c r="F52" s="10"/>
      <c r="G52" s="10"/>
      <c r="H52" s="10" t="s">
        <v>118</v>
      </c>
      <c r="I52" s="10"/>
      <c r="J52" s="10">
        <v>2026</v>
      </c>
      <c r="K52" s="10"/>
      <c r="L52" s="10">
        <f>SUMIFS($L$2:$L$51,$J$2:$J$51,2026)*0.07</f>
        <v>0</v>
      </c>
      <c r="M52" s="10"/>
      <c r="N52" s="53"/>
    </row>
    <row r="53" spans="1:20">
      <c r="A53" s="10"/>
      <c r="B53" s="10"/>
      <c r="C53" s="10"/>
      <c r="D53" s="10"/>
      <c r="E53" s="10"/>
      <c r="F53" s="10"/>
      <c r="G53" s="10"/>
      <c r="H53" s="10" t="s">
        <v>118</v>
      </c>
      <c r="I53" s="10"/>
      <c r="J53" s="10">
        <v>2027</v>
      </c>
      <c r="K53" s="10"/>
      <c r="L53" s="10">
        <f>SUMIFS($L$2:$L$51,$J$2:$J$51,2027)*0.07</f>
        <v>12446.877508100004</v>
      </c>
      <c r="M53" s="10"/>
      <c r="N53" s="53"/>
    </row>
    <row r="54" spans="1:20">
      <c r="A54" s="10"/>
      <c r="B54" s="10"/>
      <c r="C54" s="10"/>
      <c r="D54" s="10"/>
      <c r="E54" s="10"/>
      <c r="F54" s="10"/>
      <c r="G54" s="10"/>
      <c r="H54" s="10" t="s">
        <v>118</v>
      </c>
      <c r="I54" s="10"/>
      <c r="J54" s="10">
        <v>2028</v>
      </c>
      <c r="K54" s="10"/>
      <c r="L54" s="10">
        <f>SUMIFS($L$2:$L$51,$J$2:$J$51,2028)*0.07</f>
        <v>13968.273593336364</v>
      </c>
      <c r="M54" s="10"/>
      <c r="N54" s="53"/>
    </row>
    <row r="55" spans="1:20">
      <c r="A55" s="10"/>
      <c r="B55" s="10"/>
      <c r="C55" s="10"/>
      <c r="D55" s="10"/>
      <c r="E55" s="10"/>
      <c r="F55" s="10"/>
      <c r="G55" s="10"/>
      <c r="H55" s="10" t="s">
        <v>118</v>
      </c>
      <c r="I55" s="10"/>
      <c r="J55" s="10">
        <v>2029</v>
      </c>
      <c r="K55" s="10"/>
      <c r="L55" s="10">
        <f>SUMIFS($L$2:$L$51,$J$2:$J$51,2029)*0.07</f>
        <v>14171.983628345457</v>
      </c>
      <c r="M55" s="10"/>
      <c r="N55" s="53"/>
    </row>
    <row r="56" spans="1:20">
      <c r="L56" s="21"/>
    </row>
  </sheetData>
  <mergeCells count="1">
    <mergeCell ref="P31:Q31"/>
  </mergeCells>
  <dataValidations count="3">
    <dataValidation type="list" allowBlank="1" showInputMessage="1" showErrorMessage="1" sqref="F2:F5 F39:F44" xr:uid="{5CD5028B-9BBE-4D2C-AD9F-CA6584473434}">
      <formula1>#REF!</formula1>
    </dataValidation>
    <dataValidation type="list" allowBlank="1" showInputMessage="1" showErrorMessage="1" sqref="K6:K51" xr:uid="{800D8862-80FD-4AFA-9E2D-0F7D5643539F}">
      <formula1>"1,2,3,4,5,6,7,8,9,10,11,12"</formula1>
    </dataValidation>
    <dataValidation type="list" allowBlank="1" showInputMessage="1" showErrorMessage="1" sqref="J6:J51" xr:uid="{971CF3B6-610F-4225-985A-70310D1F6DC7}">
      <formula1>"2027,2028,2029,2030"</formula1>
    </dataValidation>
  </dataValidations>
  <pageMargins left="0.7" right="0.7" top="0.75" bottom="0.75" header="0.3" footer="0.3"/>
  <pageSetup paperSize="9" orientation="landscape" horizontalDpi="1200" verticalDpi="12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46D7B0062FA649B8C6DC39C8316004" ma:contentTypeVersion="9" ma:contentTypeDescription="Create a new document." ma:contentTypeScope="" ma:versionID="442b648dc56a08bcd6e9f33afc4cc0a5">
  <xsd:schema xmlns:xsd="http://www.w3.org/2001/XMLSchema" xmlns:xs="http://www.w3.org/2001/XMLSchema" xmlns:p="http://schemas.microsoft.com/office/2006/metadata/properties" xmlns:ns2="246d2e83-6129-4c3a-a1aa-7dfc0ea0d6bf" targetNamespace="http://schemas.microsoft.com/office/2006/metadata/properties" ma:root="true" ma:fieldsID="f7b3c833fa9294ca8655a1b1448a6eeb" ns2:_="">
    <xsd:import namespace="246d2e83-6129-4c3a-a1aa-7dfc0ea0d6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6d2e83-6129-4c3a-a1aa-7dfc0ea0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dea2aff-83e1-4cb3-b7a2-433f265e0d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6d2e83-6129-4c3a-a1aa-7dfc0ea0d6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BCD877-7FF2-4CD1-A661-8FFDA44E2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6d2e83-6129-4c3a-a1aa-7dfc0ea0d6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2B4C1A-D308-4E31-86B0-B1110348A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4F2F7-E487-4045-8B0D-8498465FFB5E}">
  <ds:schemaRefs>
    <ds:schemaRef ds:uri="http://schemas.microsoft.com/office/2006/metadata/properties"/>
    <ds:schemaRef ds:uri="http://schemas.microsoft.com/office/infopath/2007/PartnerControls"/>
    <ds:schemaRef ds:uri="246d2e83-6129-4c3a-a1aa-7dfc0ea0d6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Categorias</vt:lpstr>
      <vt:lpstr>Tecnicos_SYSTEM</vt:lpstr>
      <vt:lpstr>Tecnicos_CAP</vt:lpstr>
      <vt:lpstr>Pessoal_SYSTEM</vt:lpstr>
      <vt:lpstr>Folha1</vt:lpstr>
      <vt:lpstr>Pessoal_CAP</vt:lpstr>
      <vt:lpstr>Custos_SYSTEM</vt:lpstr>
      <vt:lpstr>Custos_CAP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Diogo Ferreira</dc:creator>
  <cp:keywords/>
  <dc:description/>
  <cp:lastModifiedBy>Luís Carlos Coelho</cp:lastModifiedBy>
  <cp:revision/>
  <dcterms:created xsi:type="dcterms:W3CDTF">2024-09-11T16:35:59Z</dcterms:created>
  <dcterms:modified xsi:type="dcterms:W3CDTF">2026-09-16T22:24:21Z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0x010100B846D7B0062FA649B8C6DC39C8316004</vt:lpwstr>
  </property>
  <property fmtid="{D5CDD505-2E9C-101B-9397-08002B2CF9AE}" pid="3" name="MediaServiceImageTags">
    <vt:lpwstr/>
  </property>
</Properties>
</file>