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3.xml" ContentType="application/vnd.openxmlformats-officedocument.spreadsheetml.comments+xml"/>
  <Override PartName="/xl/drawings/drawing10.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inesctecpt.sharepoint.com/sites/AmorimITOTFase1doRoadmap-100-InternoINESCTEC/Shared Documents/"/>
    </mc:Choice>
  </mc:AlternateContent>
  <xr:revisionPtr revIDLastSave="9666" documentId="13_ncr:1_{E5E7AE37-62E5-4EAB-848D-9EF9B6B7F4D4}" xr6:coauthVersionLast="47" xr6:coauthVersionMax="47" xr10:uidLastSave="{3DC78D95-4BE4-4869-B640-A22255960BBC}"/>
  <bookViews>
    <workbookView xWindow="270" yWindow="210" windowWidth="12480" windowHeight="17170" tabRatio="906" firstSheet="8" activeTab="8" xr2:uid="{00000000-000D-0000-FFFF-FFFF00000000}"/>
  </bookViews>
  <sheets>
    <sheet name="Reservado" sheetId="31" state="veryHidden" r:id="rId1"/>
    <sheet name="Instrucoes" sheetId="36" r:id="rId2"/>
    <sheet name="Definicoes" sheetId="33" r:id="rId3"/>
    <sheet name="Dados_Gerais" sheetId="24" r:id="rId4"/>
    <sheet name="RH" sheetId="43" r:id="rId5"/>
    <sheet name="OCD" sheetId="16" r:id="rId6"/>
    <sheet name="VAL" sheetId="10" r:id="rId7"/>
    <sheet name="Indicadores_Proposta" sheetId="26" r:id="rId8"/>
    <sheet name="Sheet1" sheetId="44" r:id="rId9"/>
    <sheet name="Indicadores_Internos" sheetId="1" r:id="rId10"/>
    <sheet name="Orcamento_INESCTEC" sheetId="28" state="veryHidden" r:id="rId11"/>
    <sheet name="SAP" sheetId="30" state="veryHidden" r:id="rId12"/>
    <sheet name="Parametros_Orcam" sheetId="27" r:id="rId13"/>
    <sheet name="Parametros_RH" sheetId="35" r:id="rId14"/>
    <sheet name="Teste_Modelo" sheetId="29" state="veryHidden" r:id="rId15"/>
  </sheets>
  <definedNames>
    <definedName name="_xlnm._FilterDatabase" localSheetId="7" hidden="1">Indicadores_Proposta!$E$1:$E$83</definedName>
    <definedName name="_xlnm._FilterDatabase" localSheetId="5" hidden="1">OCD!$I$34:$P$43</definedName>
    <definedName name="_xlnm._FilterDatabase" localSheetId="12" hidden="1">Parametros_Orcam!#REF!</definedName>
    <definedName name="_xlnm._FilterDatabase" localSheetId="4" hidden="1">RH!$Q$1:$Q$77</definedName>
    <definedName name="_xlnm._FilterDatabase" localSheetId="14" hidden="1">Teste_Modelo!#REF!</definedName>
    <definedName name="_xlnm.Print_Area" localSheetId="3">Dados_Gerais!$C$3:$J$47</definedName>
    <definedName name="_xlnm.Print_Area" localSheetId="2">Definicoes!$A$1:$B$55</definedName>
    <definedName name="_xlnm.Print_Area" localSheetId="9">Indicadores_Internos!$B$11:$L$73</definedName>
    <definedName name="_xlnm.Print_Area" localSheetId="7">Indicadores_Proposta!$C$11:$I$82</definedName>
    <definedName name="_xlnm.Print_Area" localSheetId="1">Instrucoes!$A$1:$B$34</definedName>
    <definedName name="_xlnm.Print_Area" localSheetId="5">OCD!$F$9:$P$30</definedName>
    <definedName name="_xlnm.Print_Area" localSheetId="10">Orcamento_INESCTEC!$C$21:$AE$47</definedName>
    <definedName name="_xlnm.Print_Area" localSheetId="12">Parametros_Orcam!$A$1:$P$91</definedName>
    <definedName name="_xlnm.Print_Area" localSheetId="13">Parametros_RH!$A$1:$D$16</definedName>
    <definedName name="_xlnm.Print_Area" localSheetId="4">RH!$G$34:$Y$65</definedName>
    <definedName name="_xlnm.Print_Area" localSheetId="11">SAP!$B$9:$S$40</definedName>
    <definedName name="_xlnm.Print_Area" localSheetId="14">Teste_Modelo!$A$1:$Q$23</definedName>
    <definedName name="_xlnm.Print_Area" localSheetId="6">VAL!$F$9:$P$29</definedName>
    <definedName name="B_Seg_Acid_Pess_Ano">Parametros_RH!$C$11</definedName>
    <definedName name="B_Seg_Social_Mes">Parametros_RH!$C$10</definedName>
    <definedName name="Bolseiro_Proj">Parametros_Orcam!$A$39:$I$43</definedName>
    <definedName name="C_Dias_Uteis_Subs_Alim_Ano">Parametros_RH!$C$7</definedName>
    <definedName name="C_Subs_Alim_Dia">Parametros_RH!$C$8</definedName>
    <definedName name="C_Taxa_Seg_Acid_Trab">Parametros_RH!$C$9</definedName>
    <definedName name="C_Taxa_Seg_Soc">Parametros_RH!$C$6</definedName>
    <definedName name="CD_RH_EC">RH!$Y$68</definedName>
    <definedName name="CD_RH_Total">RH!$Y$65</definedName>
    <definedName name="Centro_Prop">Dados_Gerais!$D$20</definedName>
    <definedName name="Centro1">Dados_Gerais!$D$22</definedName>
    <definedName name="Centro2">Dados_Gerais!$D$24</definedName>
    <definedName name="Centro3">Dados_Gerais!$D$26</definedName>
    <definedName name="Centro4">Dados_Gerais!$D$28</definedName>
    <definedName name="Centros_Lista">Parametros_Orcam!$A$60:$A$76</definedName>
    <definedName name="Centros_Proj">RH!$L$5:$P$5</definedName>
    <definedName name="CF_RH_C">RH!$V$67</definedName>
    <definedName name="CF_RH_EC">RH!$V$68</definedName>
    <definedName name="CF_RH_Total">RH!$V$65</definedName>
    <definedName name="Cliente">Dados_Gerais!$D$12</definedName>
    <definedName name="CO_RH_Total">RH!$W$65</definedName>
    <definedName name="Custos_Estrutura">Parametros_Orcam!$A$61:$D$85</definedName>
    <definedName name="CV_RH_C">RH!$X$67</definedName>
    <definedName name="CV_RH_EC">RH!$X$68</definedName>
    <definedName name="CV_RH_Total">RH!$X$65</definedName>
    <definedName name="D_Indice100">Parametros_RH!$C$12</definedName>
    <definedName name="Duracao">Dados_Gerais!$J$18</definedName>
    <definedName name="EC_Lista">Parametros_Orcam!$E$60:$E$85</definedName>
    <definedName name="Esforco_Total">RH!$T$65</definedName>
    <definedName name="Fim">Dados_Gerais!$G$18</definedName>
    <definedName name="Funcoes">Parametros_Orcam!$D$5:$D$14</definedName>
    <definedName name="IES">Parametros_Orcam!$H$61:$J$85</definedName>
    <definedName name="IES_Lista">Parametros_Orcam!$H$60:$H$85</definedName>
    <definedName name="Inicio">Dados_Gerais!$E$18</definedName>
    <definedName name="Inst_Vinc_Lista">Parametros_Orcam!$L$60:$L$85</definedName>
    <definedName name="INV">OCD!$H$45</definedName>
    <definedName name="INV_IMP">OCD!$I$45</definedName>
    <definedName name="Lista_PF">Parametros_Orcam!$E$20:$E$33</definedName>
    <definedName name="Margem_Minima">Teste_Modelo!$K$1</definedName>
    <definedName name="no_centros">Dados_Gerais!$A$2</definedName>
    <definedName name="OCO">OCD!$H$30</definedName>
    <definedName name="OCO_IMP">OCD!$I$30</definedName>
    <definedName name="OFS_Seg_Saude">Parametros_Orcam!$G$34</definedName>
    <definedName name="OH_Ang_Neg">Indicadores_Proposta!$D$75</definedName>
    <definedName name="OH_Interno">0.2</definedName>
    <definedName name="opcao_tabela">RH!$U$2</definedName>
    <definedName name="Preco_Final">Indicadores_Proposta!$I$59</definedName>
    <definedName name="Preco_Sugerido">Indicadores_Proposta!$I$57</definedName>
    <definedName name="Precos_Ref">Parametros_Orcam!$E$49:$H$54</definedName>
    <definedName name="Projeto">Dados_Gerais!$D$6:$D$6</definedName>
    <definedName name="Resp_Proj">Dados_Gerais!$F$20</definedName>
    <definedName name="Resp1">Dados_Gerais!$F$22</definedName>
    <definedName name="Resp2">Dados_Gerais!$F$24</definedName>
    <definedName name="Resp3">Dados_Gerais!$F$26</definedName>
    <definedName name="Resp4">Dados_Gerais!$F$28</definedName>
    <definedName name="Seg_Saude_Ano">Parametros_RH!$C$5</definedName>
    <definedName name="Tipo_Bolsa">Parametros_Orcam!$C$39:$C$43</definedName>
    <definedName name="_xlnm.Print_Titles" localSheetId="3">Dados_Gerais!$2:$2</definedName>
    <definedName name="_xlnm.Print_Titles" localSheetId="2">Definicoes!$1:$1</definedName>
    <definedName name="_xlnm.Print_Titles" localSheetId="9">Indicadores_Internos!$2:$10</definedName>
    <definedName name="_xlnm.Print_Titles" localSheetId="7">Indicadores_Proposta!$2:$10</definedName>
    <definedName name="_xlnm.Print_Titles" localSheetId="1">Instrucoes!$1:$2</definedName>
    <definedName name="_xlnm.Print_Titles" localSheetId="5">OCD!$1:$8</definedName>
    <definedName name="_xlnm.Print_Titles" localSheetId="10">Orcamento_INESCTEC!$C:$D,Orcamento_INESCTEC!$2:$8</definedName>
    <definedName name="_xlnm.Print_Titles" localSheetId="4">RH!$2:$33</definedName>
    <definedName name="_xlnm.Print_Titles" localSheetId="6">VAL!$2:$8</definedName>
    <definedName name="VAL_LAB">VAL!$H$29</definedName>
    <definedName name="VAL_LAB_IMP">VAL!$I$29</definedName>
    <definedName name="VAL_RES">VAL!$H$18</definedName>
    <definedName name="VAL_RES_IMP">VAL!$I$18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44" l="1"/>
  <c r="H7" i="44"/>
  <c r="H8" i="44"/>
  <c r="H9" i="44"/>
  <c r="H10" i="44"/>
  <c r="F10" i="44"/>
  <c r="D6" i="44"/>
  <c r="I30" i="16"/>
  <c r="F21" i="27"/>
  <c r="C42" i="27" l="1"/>
  <c r="E42" i="27"/>
  <c r="H42" i="27"/>
  <c r="G33" i="27"/>
  <c r="G32" i="27"/>
  <c r="G31" i="27"/>
  <c r="G30" i="27"/>
  <c r="G29" i="27"/>
  <c r="G28" i="27"/>
  <c r="G27" i="27"/>
  <c r="G26" i="27"/>
  <c r="G25" i="27"/>
  <c r="G24" i="27"/>
  <c r="G23" i="27"/>
  <c r="G22" i="27"/>
  <c r="G21" i="27"/>
  <c r="G43" i="27" l="1"/>
  <c r="G42" i="27"/>
  <c r="I42" i="27" s="1"/>
  <c r="G40" i="27"/>
  <c r="G41" i="27"/>
  <c r="G39" i="27"/>
  <c r="H54" i="27"/>
  <c r="G54" i="27"/>
  <c r="F53" i="27"/>
  <c r="H53" i="27" l="1"/>
  <c r="F52" i="27"/>
  <c r="G53" i="27"/>
  <c r="J24" i="1"/>
  <c r="R10" i="30"/>
  <c r="Q10" i="30"/>
  <c r="P10" i="30"/>
  <c r="O10" i="30"/>
  <c r="N10" i="30"/>
  <c r="M10" i="30"/>
  <c r="L10" i="30"/>
  <c r="K10" i="30"/>
  <c r="J10" i="30"/>
  <c r="I10" i="30"/>
  <c r="H10" i="30"/>
  <c r="G10" i="30"/>
  <c r="G41" i="30"/>
  <c r="H41" i="30"/>
  <c r="I41" i="30"/>
  <c r="J41" i="30"/>
  <c r="K41" i="30"/>
  <c r="L41" i="30"/>
  <c r="M41" i="30"/>
  <c r="N41" i="30"/>
  <c r="O41" i="30"/>
  <c r="P41" i="30"/>
  <c r="Q41" i="30"/>
  <c r="R41" i="30"/>
  <c r="F51" i="27" l="1"/>
  <c r="H52" i="27"/>
  <c r="G52" i="27"/>
  <c r="Q75" i="43"/>
  <c r="F50" i="27" l="1"/>
  <c r="G51" i="27"/>
  <c r="H51" i="27"/>
  <c r="C42" i="43"/>
  <c r="C39" i="43"/>
  <c r="C34" i="43"/>
  <c r="C38" i="43"/>
  <c r="C40" i="43"/>
  <c r="C41" i="43"/>
  <c r="C43" i="43"/>
  <c r="C44" i="43"/>
  <c r="C45" i="43"/>
  <c r="C46" i="43"/>
  <c r="C47" i="43"/>
  <c r="C48" i="43"/>
  <c r="C49" i="43"/>
  <c r="C50" i="43"/>
  <c r="C51" i="43"/>
  <c r="C52" i="43"/>
  <c r="C53" i="43"/>
  <c r="C54" i="43"/>
  <c r="C55" i="43"/>
  <c r="C56" i="43"/>
  <c r="C57" i="43"/>
  <c r="C58" i="43"/>
  <c r="C59" i="43"/>
  <c r="C60" i="43"/>
  <c r="C61" i="43"/>
  <c r="C62" i="43"/>
  <c r="C63" i="43"/>
  <c r="C37" i="43"/>
  <c r="F49" i="27" l="1"/>
  <c r="G50" i="27"/>
  <c r="H50" i="27"/>
  <c r="B10" i="24"/>
  <c r="L10" i="24" s="1"/>
  <c r="B8" i="24"/>
  <c r="G49" i="27" l="1"/>
  <c r="F37" i="24"/>
  <c r="F39" i="24"/>
  <c r="A41" i="24"/>
  <c r="A40" i="24"/>
  <c r="A39" i="24"/>
  <c r="A37" i="24"/>
  <c r="A36" i="24"/>
  <c r="F36" i="24"/>
  <c r="F38" i="24"/>
  <c r="F41" i="24" l="1"/>
  <c r="F40" i="24"/>
  <c r="A38" i="24"/>
  <c r="D13" i="29"/>
  <c r="D12" i="29"/>
  <c r="D11" i="29"/>
  <c r="D10" i="29"/>
  <c r="D9" i="29"/>
  <c r="D8" i="29"/>
  <c r="D7" i="29"/>
  <c r="D6" i="29"/>
  <c r="L85" i="27" l="1"/>
  <c r="L84" i="27"/>
  <c r="L83" i="27"/>
  <c r="L82" i="27"/>
  <c r="L81" i="27"/>
  <c r="L80" i="27"/>
  <c r="L79" i="27"/>
  <c r="L78" i="27"/>
  <c r="L77" i="27"/>
  <c r="L76" i="27"/>
  <c r="L75" i="27"/>
  <c r="L74" i="27"/>
  <c r="L73" i="27"/>
  <c r="L72" i="27"/>
  <c r="L71" i="27"/>
  <c r="L70" i="27"/>
  <c r="L69" i="27"/>
  <c r="L68" i="27"/>
  <c r="L67" i="27"/>
  <c r="L66" i="27"/>
  <c r="L65" i="27"/>
  <c r="L64" i="27"/>
  <c r="L63" i="27"/>
  <c r="L76" i="43"/>
  <c r="E37" i="24" l="1"/>
  <c r="E38" i="24"/>
  <c r="E39" i="24"/>
  <c r="E40" i="24"/>
  <c r="E41" i="24"/>
  <c r="E36" i="24"/>
  <c r="B28" i="24" l="1"/>
  <c r="L28" i="24" s="1"/>
  <c r="B26" i="24"/>
  <c r="L26" i="24" s="1"/>
  <c r="B24" i="24"/>
  <c r="L24" i="24" s="1"/>
  <c r="B22" i="24"/>
  <c r="L22" i="24" s="1"/>
  <c r="B20" i="24"/>
  <c r="L20" i="24" s="1"/>
  <c r="A2" i="24" l="1"/>
  <c r="AF63" i="43" l="1"/>
  <c r="AE63" i="43"/>
  <c r="AF62" i="43"/>
  <c r="AE62" i="43"/>
  <c r="AF61" i="43"/>
  <c r="AE61" i="43"/>
  <c r="AF60" i="43"/>
  <c r="AE60" i="43"/>
  <c r="AF59" i="43"/>
  <c r="AE59" i="43"/>
  <c r="AF58" i="43"/>
  <c r="AE58" i="43"/>
  <c r="AF57" i="43"/>
  <c r="AE57" i="43"/>
  <c r="AF56" i="43"/>
  <c r="AE56" i="43"/>
  <c r="AF55" i="43"/>
  <c r="AE55" i="43"/>
  <c r="AF54" i="43"/>
  <c r="AE54" i="43"/>
  <c r="AF53" i="43"/>
  <c r="AE53" i="43"/>
  <c r="AF52" i="43"/>
  <c r="AE52" i="43"/>
  <c r="AF51" i="43"/>
  <c r="AE51" i="43"/>
  <c r="AF50" i="43"/>
  <c r="AE50" i="43"/>
  <c r="AF49" i="43"/>
  <c r="AE49" i="43"/>
  <c r="AF48" i="43"/>
  <c r="AE48" i="43"/>
  <c r="AF47" i="43"/>
  <c r="AE47" i="43"/>
  <c r="AF46" i="43"/>
  <c r="AE46" i="43"/>
  <c r="AF45" i="43"/>
  <c r="AE45" i="43"/>
  <c r="AF44" i="43"/>
  <c r="AE44" i="43"/>
  <c r="AF43" i="43"/>
  <c r="AE43" i="43"/>
  <c r="AF42" i="43"/>
  <c r="AE42" i="43"/>
  <c r="AF41" i="43"/>
  <c r="AE41" i="43"/>
  <c r="AF40" i="43"/>
  <c r="AE40" i="43"/>
  <c r="AF39" i="43"/>
  <c r="AE39" i="43"/>
  <c r="AF38" i="43"/>
  <c r="AE38" i="43"/>
  <c r="AF37" i="43"/>
  <c r="AE37" i="43"/>
  <c r="AF36" i="43"/>
  <c r="AE36" i="43"/>
  <c r="AF35" i="43"/>
  <c r="AE35" i="43"/>
  <c r="AF34" i="43"/>
  <c r="AE34" i="43"/>
  <c r="AE12" i="43"/>
  <c r="AF12" i="43"/>
  <c r="AE13" i="43"/>
  <c r="AF13" i="43"/>
  <c r="AE14" i="43"/>
  <c r="AF14" i="43"/>
  <c r="AE15" i="43"/>
  <c r="AF15" i="43"/>
  <c r="AE16" i="43"/>
  <c r="AF16" i="43"/>
  <c r="AE17" i="43"/>
  <c r="AF17" i="43"/>
  <c r="AE18" i="43"/>
  <c r="AF18" i="43"/>
  <c r="AE19" i="43"/>
  <c r="AF19" i="43"/>
  <c r="AE20" i="43"/>
  <c r="AF20" i="43"/>
  <c r="AE21" i="43"/>
  <c r="AF21" i="43"/>
  <c r="AE22" i="43"/>
  <c r="AF22" i="43"/>
  <c r="AE23" i="43"/>
  <c r="AF23" i="43"/>
  <c r="AE24" i="43"/>
  <c r="AF24" i="43"/>
  <c r="AE25" i="43"/>
  <c r="AF25" i="43"/>
  <c r="AE26" i="43"/>
  <c r="AF26" i="43"/>
  <c r="AE27" i="43"/>
  <c r="AF27" i="43"/>
  <c r="AE28" i="43"/>
  <c r="AF28" i="43"/>
  <c r="AE29" i="43"/>
  <c r="AF29" i="43"/>
  <c r="AE30" i="43"/>
  <c r="AF30" i="43"/>
  <c r="AE11" i="43"/>
  <c r="AD35" i="43" l="1"/>
  <c r="AD43" i="43"/>
  <c r="AD51" i="43"/>
  <c r="AD59" i="43"/>
  <c r="AD39" i="43"/>
  <c r="AD47" i="43"/>
  <c r="AD55" i="43"/>
  <c r="AD41" i="43"/>
  <c r="AD49" i="43"/>
  <c r="AD57" i="43"/>
  <c r="AD63" i="43"/>
  <c r="AD37" i="43"/>
  <c r="AD45" i="43"/>
  <c r="AD53" i="43"/>
  <c r="AD61" i="43"/>
  <c r="AD27" i="43"/>
  <c r="AD34" i="43"/>
  <c r="AD42" i="43"/>
  <c r="AD50" i="43"/>
  <c r="AD58" i="43"/>
  <c r="AD38" i="43"/>
  <c r="AD46" i="43"/>
  <c r="AD54" i="43"/>
  <c r="AD62" i="43"/>
  <c r="AD40" i="43"/>
  <c r="AD48" i="43"/>
  <c r="AD56" i="43"/>
  <c r="AD28" i="43"/>
  <c r="AD36" i="43"/>
  <c r="AD44" i="43"/>
  <c r="AD52" i="43"/>
  <c r="AD60" i="43"/>
  <c r="AD16" i="43"/>
  <c r="AD20" i="43"/>
  <c r="AD26" i="43"/>
  <c r="AD18" i="43"/>
  <c r="AD25" i="43"/>
  <c r="AD17" i="43"/>
  <c r="AD24" i="43"/>
  <c r="AD23" i="43"/>
  <c r="AD15" i="43"/>
  <c r="AD19" i="43"/>
  <c r="AD30" i="43"/>
  <c r="AD22" i="43"/>
  <c r="AD14" i="43"/>
  <c r="AD29" i="43"/>
  <c r="AD21" i="43"/>
  <c r="AD13" i="43"/>
  <c r="AD12" i="43"/>
  <c r="E13" i="43"/>
  <c r="E63" i="43"/>
  <c r="E62" i="43"/>
  <c r="E61" i="43"/>
  <c r="E60" i="43"/>
  <c r="E59" i="43"/>
  <c r="E58" i="43"/>
  <c r="E57" i="43"/>
  <c r="E56" i="43"/>
  <c r="E55" i="43"/>
  <c r="E54" i="43"/>
  <c r="E53" i="43"/>
  <c r="E52" i="43"/>
  <c r="E51" i="43"/>
  <c r="E50" i="43"/>
  <c r="E49" i="43"/>
  <c r="E48" i="43"/>
  <c r="E47" i="43"/>
  <c r="E46" i="43"/>
  <c r="E45" i="43"/>
  <c r="E44" i="43"/>
  <c r="E43" i="43"/>
  <c r="E41" i="43"/>
  <c r="E40" i="43"/>
  <c r="E35" i="43"/>
  <c r="E38" i="43"/>
  <c r="E34" i="43"/>
  <c r="E39" i="43"/>
  <c r="E42" i="43"/>
  <c r="E36" i="43"/>
  <c r="E37" i="43"/>
  <c r="E30" i="43"/>
  <c r="E29" i="43"/>
  <c r="E28" i="43"/>
  <c r="E27" i="43"/>
  <c r="E26" i="43"/>
  <c r="E25" i="43"/>
  <c r="E24" i="43"/>
  <c r="E23" i="43"/>
  <c r="E22" i="43"/>
  <c r="E21" i="43"/>
  <c r="E20" i="43"/>
  <c r="E19" i="43"/>
  <c r="E18" i="43"/>
  <c r="E17" i="43"/>
  <c r="E15" i="43"/>
  <c r="E12" i="43"/>
  <c r="E11" i="43"/>
  <c r="E14" i="43"/>
  <c r="E16" i="43"/>
  <c r="T63" i="43"/>
  <c r="T62" i="43"/>
  <c r="T61" i="43"/>
  <c r="T60" i="43"/>
  <c r="T59" i="43"/>
  <c r="T58" i="43"/>
  <c r="T57" i="43"/>
  <c r="T56" i="43"/>
  <c r="T55" i="43"/>
  <c r="T54" i="43"/>
  <c r="T53" i="43"/>
  <c r="T52" i="43"/>
  <c r="T51" i="43"/>
  <c r="T50" i="43"/>
  <c r="T49" i="43"/>
  <c r="T48" i="43"/>
  <c r="T47" i="43"/>
  <c r="T46" i="43"/>
  <c r="T45" i="43"/>
  <c r="T44" i="43"/>
  <c r="T43" i="43"/>
  <c r="T41" i="43"/>
  <c r="T40" i="43"/>
  <c r="T35" i="43"/>
  <c r="T38" i="43"/>
  <c r="T34" i="43"/>
  <c r="T39" i="43"/>
  <c r="T42" i="43"/>
  <c r="T36" i="43"/>
  <c r="T37" i="43"/>
  <c r="T30" i="43"/>
  <c r="T29" i="43"/>
  <c r="T28" i="43"/>
  <c r="T27" i="43"/>
  <c r="T26" i="43"/>
  <c r="T25" i="43"/>
  <c r="T24" i="43"/>
  <c r="T23" i="43"/>
  <c r="T22" i="43"/>
  <c r="T21" i="43"/>
  <c r="T20" i="43"/>
  <c r="T19" i="43"/>
  <c r="T18" i="43"/>
  <c r="T17" i="43"/>
  <c r="T15" i="43"/>
  <c r="T12" i="43"/>
  <c r="T11" i="43"/>
  <c r="T14" i="43"/>
  <c r="T16" i="43"/>
  <c r="T13" i="43"/>
  <c r="S65" i="43" l="1"/>
  <c r="J82" i="26"/>
  <c r="B36" i="43"/>
  <c r="D36" i="43"/>
  <c r="B42" i="43"/>
  <c r="D42" i="43"/>
  <c r="B39" i="43"/>
  <c r="D39" i="43"/>
  <c r="B34" i="43"/>
  <c r="D34" i="43"/>
  <c r="B38" i="43"/>
  <c r="D38" i="43"/>
  <c r="B35" i="43"/>
  <c r="D35" i="43"/>
  <c r="B40" i="43"/>
  <c r="D40" i="43"/>
  <c r="B41" i="43"/>
  <c r="D41" i="43"/>
  <c r="J70" i="26" l="1"/>
  <c r="J71" i="26"/>
  <c r="J69" i="26"/>
  <c r="J72" i="26"/>
  <c r="J73" i="26"/>
  <c r="J67" i="26"/>
  <c r="J74" i="26"/>
  <c r="J68" i="26"/>
  <c r="J75" i="26"/>
  <c r="J76" i="26"/>
  <c r="J77" i="26"/>
  <c r="J78" i="26"/>
  <c r="J63" i="26"/>
  <c r="J79" i="26"/>
  <c r="J64" i="26"/>
  <c r="J80" i="26"/>
  <c r="J65" i="26"/>
  <c r="J81" i="26"/>
  <c r="J66" i="26"/>
  <c r="O5" i="43"/>
  <c r="AC77" i="43" l="1"/>
  <c r="AD77" i="43"/>
  <c r="N28" i="24"/>
  <c r="N26" i="24"/>
  <c r="N24" i="24"/>
  <c r="N22" i="24"/>
  <c r="N20" i="24"/>
  <c r="J18" i="24"/>
  <c r="B18" i="24"/>
  <c r="S6" i="30" l="1"/>
  <c r="AG29" i="43"/>
  <c r="AB29" i="43"/>
  <c r="Z29" i="43"/>
  <c r="G29" i="43"/>
  <c r="V29" i="43" s="1"/>
  <c r="Y29" i="43" s="1"/>
  <c r="D29" i="43"/>
  <c r="B29" i="43"/>
  <c r="A29" i="43"/>
  <c r="AG28" i="43"/>
  <c r="AB28" i="43"/>
  <c r="Z28" i="43"/>
  <c r="G28" i="43"/>
  <c r="V28" i="43" s="1"/>
  <c r="Y28" i="43" s="1"/>
  <c r="D28" i="43"/>
  <c r="B28" i="43"/>
  <c r="A28" i="43"/>
  <c r="AG27" i="43"/>
  <c r="AB27" i="43"/>
  <c r="Z27" i="43"/>
  <c r="G27" i="43"/>
  <c r="V27" i="43" s="1"/>
  <c r="Y27" i="43" s="1"/>
  <c r="D27" i="43"/>
  <c r="B27" i="43"/>
  <c r="A27" i="43"/>
  <c r="AG26" i="43"/>
  <c r="AB26" i="43"/>
  <c r="Z26" i="43"/>
  <c r="G26" i="43"/>
  <c r="V26" i="43" s="1"/>
  <c r="Y26" i="43" s="1"/>
  <c r="D26" i="43"/>
  <c r="B26" i="43"/>
  <c r="A26" i="43"/>
  <c r="AG25" i="43"/>
  <c r="AB25" i="43"/>
  <c r="Z25" i="43"/>
  <c r="G25" i="43"/>
  <c r="C25" i="43" s="1"/>
  <c r="D25" i="43"/>
  <c r="B25" i="43"/>
  <c r="A25" i="43"/>
  <c r="AG24" i="43"/>
  <c r="AB24" i="43"/>
  <c r="Z24" i="43"/>
  <c r="G24" i="43"/>
  <c r="C24" i="43" s="1"/>
  <c r="D24" i="43"/>
  <c r="B24" i="43"/>
  <c r="A24" i="43"/>
  <c r="AG23" i="43"/>
  <c r="AB23" i="43"/>
  <c r="Z23" i="43"/>
  <c r="G23" i="43"/>
  <c r="V23" i="43" s="1"/>
  <c r="Y23" i="43" s="1"/>
  <c r="D23" i="43"/>
  <c r="B23" i="43"/>
  <c r="A23" i="43"/>
  <c r="C27" i="43" l="1"/>
  <c r="U25" i="43"/>
  <c r="U24" i="43"/>
  <c r="C23" i="43"/>
  <c r="U23" i="43"/>
  <c r="C28" i="43"/>
  <c r="C26" i="43"/>
  <c r="C29" i="43"/>
  <c r="U26" i="43"/>
  <c r="U29" i="43"/>
  <c r="V25" i="43"/>
  <c r="Y25" i="43" s="1"/>
  <c r="V24" i="43"/>
  <c r="Y24" i="43" s="1"/>
  <c r="U28" i="43"/>
  <c r="U27" i="43"/>
  <c r="AF11" i="43"/>
  <c r="AD11" i="43" s="1"/>
  <c r="AD1" i="43" s="1"/>
  <c r="AG16" i="43" l="1"/>
  <c r="AB11" i="43"/>
  <c r="Z11" i="43"/>
  <c r="G11" i="43"/>
  <c r="D11" i="43"/>
  <c r="B11" i="43"/>
  <c r="AG15" i="43"/>
  <c r="AB14" i="43"/>
  <c r="Z14" i="43"/>
  <c r="G14" i="43"/>
  <c r="V14" i="43" s="1"/>
  <c r="Y14" i="43" s="1"/>
  <c r="D14" i="43"/>
  <c r="B14" i="43"/>
  <c r="AG14" i="43"/>
  <c r="AB16" i="43"/>
  <c r="Z16" i="43"/>
  <c r="G16" i="43"/>
  <c r="D16" i="43"/>
  <c r="B16" i="43"/>
  <c r="Z63" i="43"/>
  <c r="Z62" i="43"/>
  <c r="Z61" i="43"/>
  <c r="Z60" i="43"/>
  <c r="Z59" i="43"/>
  <c r="Z58" i="43"/>
  <c r="Z57" i="43"/>
  <c r="Z56" i="43"/>
  <c r="Z55" i="43"/>
  <c r="Z54" i="43"/>
  <c r="Z53" i="43"/>
  <c r="Z52" i="43"/>
  <c r="Z51" i="43"/>
  <c r="Z50" i="43"/>
  <c r="Z30" i="43"/>
  <c r="A16" i="43" l="1"/>
  <c r="U16" i="43"/>
  <c r="A14" i="43"/>
  <c r="U14" i="43"/>
  <c r="A11" i="43"/>
  <c r="U11" i="43"/>
  <c r="C16" i="43"/>
  <c r="C14" i="43"/>
  <c r="C11" i="43"/>
  <c r="AG20" i="43" l="1"/>
  <c r="AB19" i="43"/>
  <c r="Z19" i="43"/>
  <c r="G19" i="43"/>
  <c r="D19" i="43"/>
  <c r="B19" i="43"/>
  <c r="AG19" i="43"/>
  <c r="AB18" i="43"/>
  <c r="Z18" i="43"/>
  <c r="G18" i="43"/>
  <c r="V18" i="43" s="1"/>
  <c r="Y18" i="43" s="1"/>
  <c r="D18" i="43"/>
  <c r="B18" i="43"/>
  <c r="AG18" i="43"/>
  <c r="AB15" i="43"/>
  <c r="Z15" i="43"/>
  <c r="G15" i="43"/>
  <c r="V15" i="43" s="1"/>
  <c r="Y15" i="43" s="1"/>
  <c r="D15" i="43"/>
  <c r="B15" i="43"/>
  <c r="AG17" i="43"/>
  <c r="AB12" i="43"/>
  <c r="Z12" i="43"/>
  <c r="G12" i="43"/>
  <c r="D12" i="43"/>
  <c r="B12" i="43"/>
  <c r="AG13" i="43"/>
  <c r="AB17" i="43"/>
  <c r="Z17" i="43"/>
  <c r="G17" i="43"/>
  <c r="C17" i="43" s="1"/>
  <c r="D17" i="43"/>
  <c r="B17" i="43"/>
  <c r="U19" i="43" l="1"/>
  <c r="U18" i="43"/>
  <c r="C18" i="43"/>
  <c r="A18" i="43"/>
  <c r="U12" i="43"/>
  <c r="V17" i="43"/>
  <c r="Y17" i="43" s="1"/>
  <c r="A15" i="43"/>
  <c r="U15" i="43"/>
  <c r="V19" i="43"/>
  <c r="Y19" i="43" s="1"/>
  <c r="A17" i="43"/>
  <c r="U17" i="43"/>
  <c r="C15" i="43"/>
  <c r="A12" i="43"/>
  <c r="A19" i="43"/>
  <c r="C12" i="43"/>
  <c r="C19" i="43"/>
  <c r="AG35" i="43"/>
  <c r="AG36" i="43"/>
  <c r="AG37" i="43"/>
  <c r="AG38" i="43"/>
  <c r="AG39" i="43"/>
  <c r="AG40" i="43"/>
  <c r="AG41" i="43"/>
  <c r="AG42" i="43"/>
  <c r="AG43" i="43"/>
  <c r="AG44" i="43"/>
  <c r="AG45" i="43"/>
  <c r="AG46" i="43"/>
  <c r="AG47" i="43"/>
  <c r="AG48" i="43"/>
  <c r="AG49" i="43"/>
  <c r="AG50" i="43"/>
  <c r="AG51" i="43"/>
  <c r="AG52" i="43"/>
  <c r="AG53" i="43"/>
  <c r="AG54" i="43"/>
  <c r="AG55" i="43"/>
  <c r="AG56" i="43"/>
  <c r="AG57" i="43"/>
  <c r="AG58" i="43"/>
  <c r="AG59" i="43"/>
  <c r="AG60" i="43"/>
  <c r="AG61" i="43"/>
  <c r="AG62" i="43"/>
  <c r="AG63" i="43"/>
  <c r="AG34" i="43"/>
  <c r="AG12" i="43"/>
  <c r="AG21" i="43"/>
  <c r="AG22" i="43"/>
  <c r="AG30" i="43"/>
  <c r="AG11" i="43"/>
  <c r="Z22" i="43" l="1"/>
  <c r="Z21" i="43"/>
  <c r="Z13" i="43"/>
  <c r="Z20" i="43"/>
  <c r="G13" i="43"/>
  <c r="V13" i="43" s="1"/>
  <c r="G21" i="43"/>
  <c r="V21" i="43" s="1"/>
  <c r="G22" i="43"/>
  <c r="V22" i="43" s="1"/>
  <c r="G30" i="43"/>
  <c r="V30" i="43" s="1"/>
  <c r="G20" i="43"/>
  <c r="V20" i="43" s="1"/>
  <c r="U20" i="43" l="1"/>
  <c r="U13" i="43"/>
  <c r="Y22" i="43"/>
  <c r="U22" i="43"/>
  <c r="U30" i="43"/>
  <c r="Y20" i="43"/>
  <c r="U21" i="43"/>
  <c r="Y30" i="43"/>
  <c r="J74" i="43"/>
  <c r="Q74" i="43"/>
  <c r="Y21" i="43" l="1"/>
  <c r="Y13" i="43"/>
  <c r="AB30" i="43"/>
  <c r="D30" i="43"/>
  <c r="C30" i="43"/>
  <c r="B30" i="43"/>
  <c r="A30" i="43"/>
  <c r="AB22" i="43"/>
  <c r="D22" i="43"/>
  <c r="C22" i="43"/>
  <c r="B22" i="43"/>
  <c r="A22" i="43"/>
  <c r="AB13" i="43"/>
  <c r="D13" i="43"/>
  <c r="C13" i="43"/>
  <c r="B13" i="43"/>
  <c r="A13" i="43"/>
  <c r="AB20" i="43"/>
  <c r="D20" i="43"/>
  <c r="C20" i="43"/>
  <c r="B20" i="43"/>
  <c r="A20" i="43"/>
  <c r="AB21" i="43"/>
  <c r="D21" i="43"/>
  <c r="C21" i="43"/>
  <c r="B21" i="43"/>
  <c r="A21" i="43"/>
  <c r="AB9" i="43" l="1"/>
  <c r="V53" i="43"/>
  <c r="V44" i="43"/>
  <c r="V52" i="43"/>
  <c r="V50" i="43"/>
  <c r="V51" i="43"/>
  <c r="V42" i="43"/>
  <c r="V35" i="43"/>
  <c r="V45" i="43"/>
  <c r="V48" i="43"/>
  <c r="V43" i="43"/>
  <c r="V63" i="43"/>
  <c r="V62" i="43"/>
  <c r="V61" i="43"/>
  <c r="V60" i="43"/>
  <c r="V59" i="43"/>
  <c r="V58" i="43"/>
  <c r="V57" i="43"/>
  <c r="V56" i="43"/>
  <c r="V55" i="43"/>
  <c r="V54" i="43"/>
  <c r="U63" i="43"/>
  <c r="U62" i="43"/>
  <c r="U61" i="43"/>
  <c r="U60" i="43"/>
  <c r="U59" i="43"/>
  <c r="U58" i="43"/>
  <c r="U57" i="43"/>
  <c r="U56" i="43"/>
  <c r="U55" i="43"/>
  <c r="U54" i="43"/>
  <c r="U53" i="43"/>
  <c r="U52" i="43"/>
  <c r="U51" i="43"/>
  <c r="D63" i="43"/>
  <c r="D62" i="43"/>
  <c r="D61" i="43"/>
  <c r="D60" i="43"/>
  <c r="D59" i="43"/>
  <c r="D58" i="43"/>
  <c r="D57" i="43"/>
  <c r="D56" i="43"/>
  <c r="D55" i="43"/>
  <c r="D54" i="43"/>
  <c r="D53" i="43"/>
  <c r="D44" i="43"/>
  <c r="D52" i="43"/>
  <c r="D50" i="43"/>
  <c r="D51" i="43"/>
  <c r="D47" i="43"/>
  <c r="D45" i="43"/>
  <c r="D49" i="43"/>
  <c r="D46" i="43"/>
  <c r="D48" i="43"/>
  <c r="D43" i="43"/>
  <c r="D37" i="43"/>
  <c r="W51" i="43"/>
  <c r="X51" i="43"/>
  <c r="U50" i="43"/>
  <c r="W50" i="43"/>
  <c r="X50" i="43"/>
  <c r="W52" i="43"/>
  <c r="X52" i="43"/>
  <c r="W38" i="43"/>
  <c r="W53" i="43"/>
  <c r="X53" i="43"/>
  <c r="W54" i="43"/>
  <c r="X54" i="43"/>
  <c r="W55" i="43"/>
  <c r="X55" i="43"/>
  <c r="W56" i="43"/>
  <c r="X56" i="43"/>
  <c r="W57" i="43"/>
  <c r="X57" i="43"/>
  <c r="W58" i="43"/>
  <c r="X58" i="43"/>
  <c r="W59" i="43"/>
  <c r="X59" i="43"/>
  <c r="W60" i="43"/>
  <c r="X60" i="43"/>
  <c r="W61" i="43"/>
  <c r="X61" i="43"/>
  <c r="W62" i="43"/>
  <c r="X62" i="43"/>
  <c r="W63" i="43"/>
  <c r="X63" i="43"/>
  <c r="Z44" i="43" l="1"/>
  <c r="U39" i="43"/>
  <c r="Z39" i="43"/>
  <c r="U38" i="43"/>
  <c r="Z38" i="43"/>
  <c r="U44" i="43"/>
  <c r="W39" i="43"/>
  <c r="X39" i="43"/>
  <c r="X44" i="43"/>
  <c r="W44" i="43"/>
  <c r="Y56" i="43"/>
  <c r="Y54" i="43"/>
  <c r="Y62" i="43"/>
  <c r="Y60" i="43"/>
  <c r="Y58" i="43"/>
  <c r="Y50" i="43"/>
  <c r="Y51" i="43"/>
  <c r="Y61" i="43"/>
  <c r="Y57" i="43"/>
  <c r="Y52" i="43"/>
  <c r="Y53" i="43"/>
  <c r="Y63" i="43"/>
  <c r="Y59" i="43"/>
  <c r="Y55" i="43"/>
  <c r="Y44" i="43" l="1"/>
  <c r="E33" i="27"/>
  <c r="E32" i="27"/>
  <c r="E31" i="27"/>
  <c r="E30" i="27"/>
  <c r="E29" i="27"/>
  <c r="I32" i="27"/>
  <c r="I31" i="27"/>
  <c r="I30" i="27"/>
  <c r="I29" i="27"/>
  <c r="C30" i="27"/>
  <c r="C31" i="27"/>
  <c r="E43" i="27"/>
  <c r="C23" i="29" s="1"/>
  <c r="E41" i="27"/>
  <c r="C22" i="29" s="1"/>
  <c r="C21" i="29"/>
  <c r="E40" i="27"/>
  <c r="C20" i="29" s="1"/>
  <c r="E39" i="27"/>
  <c r="C19" i="29" s="1"/>
  <c r="E38" i="27"/>
  <c r="C18" i="29" s="1"/>
  <c r="E37" i="27"/>
  <c r="C17" i="29" s="1"/>
  <c r="E36" i="27"/>
  <c r="C16" i="29" s="1"/>
  <c r="E35" i="27"/>
  <c r="C15" i="29" s="1"/>
  <c r="E34" i="27"/>
  <c r="C14" i="29" s="1"/>
  <c r="E28" i="27"/>
  <c r="C13" i="29" s="1"/>
  <c r="E27" i="27"/>
  <c r="C12" i="29" s="1"/>
  <c r="E26" i="27"/>
  <c r="C11" i="29" s="1"/>
  <c r="E25" i="27"/>
  <c r="C10" i="29" s="1"/>
  <c r="E24" i="27"/>
  <c r="C9" i="29" s="1"/>
  <c r="E23" i="27"/>
  <c r="C8" i="29" s="1"/>
  <c r="E22" i="27"/>
  <c r="C7" i="29" s="1"/>
  <c r="E21" i="27"/>
  <c r="C6" i="29" s="1"/>
  <c r="C32" i="27"/>
  <c r="C29" i="27"/>
  <c r="A13" i="29" s="1"/>
  <c r="O74" i="43"/>
  <c r="B37" i="43" l="1"/>
  <c r="B43" i="43"/>
  <c r="B48" i="43"/>
  <c r="B46" i="43"/>
  <c r="B49" i="43"/>
  <c r="B45" i="43"/>
  <c r="B47" i="43"/>
  <c r="B51" i="43"/>
  <c r="B50" i="43"/>
  <c r="B52" i="43"/>
  <c r="B44" i="43"/>
  <c r="B53" i="43"/>
  <c r="B54" i="43"/>
  <c r="B55" i="43"/>
  <c r="B56" i="43"/>
  <c r="B57" i="43"/>
  <c r="B58" i="43"/>
  <c r="B59" i="43"/>
  <c r="B60" i="43"/>
  <c r="B61" i="43"/>
  <c r="B62" i="43"/>
  <c r="B63" i="43"/>
  <c r="AB34" i="43" l="1"/>
  <c r="AB49" i="43"/>
  <c r="AB37" i="43"/>
  <c r="AB46" i="43"/>
  <c r="AB43" i="43"/>
  <c r="AB48" i="43"/>
  <c r="AB36" i="43"/>
  <c r="AB35" i="43"/>
  <c r="AB47" i="43"/>
  <c r="AB40" i="43"/>
  <c r="AB45" i="43"/>
  <c r="AB42" i="43"/>
  <c r="AB51" i="43"/>
  <c r="AB50" i="43"/>
  <c r="AB52" i="43"/>
  <c r="AB38" i="43"/>
  <c r="AB44" i="43"/>
  <c r="AB39" i="43"/>
  <c r="AB53" i="43"/>
  <c r="AB54" i="43"/>
  <c r="AB55" i="43"/>
  <c r="AB56" i="43"/>
  <c r="AB57" i="43"/>
  <c r="AB58" i="43"/>
  <c r="AB59" i="43"/>
  <c r="AB60" i="43"/>
  <c r="AB61" i="43"/>
  <c r="AB62" i="43"/>
  <c r="AB63" i="43"/>
  <c r="AB41" i="43"/>
  <c r="AB32" i="43" l="1"/>
  <c r="AB1" i="43" s="1"/>
  <c r="AE11" i="29"/>
  <c r="S68" i="43" l="1"/>
  <c r="S67" i="43"/>
  <c r="B12" i="24"/>
  <c r="L12" i="24" s="1"/>
  <c r="L8" i="24"/>
  <c r="B6" i="24"/>
  <c r="L6" i="24" s="1"/>
  <c r="H14" i="1"/>
  <c r="X41" i="43" l="1"/>
  <c r="H38" i="27"/>
  <c r="F18" i="29" s="1"/>
  <c r="H37" i="27"/>
  <c r="F17" i="29" s="1"/>
  <c r="H36" i="27"/>
  <c r="F16" i="29" s="1"/>
  <c r="H35" i="27"/>
  <c r="F15" i="29" s="1"/>
  <c r="X34" i="43" l="1"/>
  <c r="G3" i="26"/>
  <c r="W41" i="43" l="1"/>
  <c r="A50" i="26"/>
  <c r="A51" i="26"/>
  <c r="A36" i="43" l="1"/>
  <c r="A34" i="43"/>
  <c r="A43" i="43"/>
  <c r="A45" i="43"/>
  <c r="A41" i="43"/>
  <c r="A37" i="43"/>
  <c r="A47" i="43"/>
  <c r="A35" i="43"/>
  <c r="A48" i="43"/>
  <c r="A40" i="43"/>
  <c r="A42" i="43"/>
  <c r="A46" i="43"/>
  <c r="A51" i="43"/>
  <c r="A50" i="43"/>
  <c r="A52" i="43"/>
  <c r="A38" i="43"/>
  <c r="A44" i="43"/>
  <c r="A39" i="43"/>
  <c r="A53" i="43"/>
  <c r="A54" i="43"/>
  <c r="A55" i="43"/>
  <c r="A56" i="43"/>
  <c r="A57" i="43"/>
  <c r="A58" i="43"/>
  <c r="A59" i="43"/>
  <c r="A60" i="43"/>
  <c r="A61" i="43"/>
  <c r="A62" i="43"/>
  <c r="A63" i="43"/>
  <c r="A49" i="43"/>
  <c r="AB24" i="28" l="1"/>
  <c r="X24" i="28"/>
  <c r="T24" i="28"/>
  <c r="P24" i="28"/>
  <c r="L24" i="28"/>
  <c r="J24" i="28"/>
  <c r="I24" i="28"/>
  <c r="H24" i="28"/>
  <c r="G24" i="28"/>
  <c r="F24" i="28"/>
  <c r="AB12" i="28"/>
  <c r="X12" i="28"/>
  <c r="T12" i="28"/>
  <c r="P12" i="28"/>
  <c r="L12" i="28"/>
  <c r="J12" i="28"/>
  <c r="I12" i="28"/>
  <c r="H12" i="28"/>
  <c r="G12" i="28"/>
  <c r="F12" i="28"/>
  <c r="J48" i="28" l="1"/>
  <c r="J33" i="28"/>
  <c r="J34" i="28"/>
  <c r="I48" i="28"/>
  <c r="H48" i="28"/>
  <c r="H32" i="28"/>
  <c r="H33" i="28"/>
  <c r="G48" i="28"/>
  <c r="G37" i="28"/>
  <c r="G34" i="28"/>
  <c r="O8" i="28"/>
  <c r="O48" i="28" s="1"/>
  <c r="M8" i="28"/>
  <c r="L8" i="28"/>
  <c r="N8" i="28"/>
  <c r="AE8" i="28"/>
  <c r="AE48" i="28" s="1"/>
  <c r="AB8" i="28"/>
  <c r="AD8" i="28"/>
  <c r="AC8" i="28"/>
  <c r="W8" i="28"/>
  <c r="V8" i="28"/>
  <c r="V48" i="28" s="1"/>
  <c r="U8" i="28"/>
  <c r="T8" i="28"/>
  <c r="P8" i="28"/>
  <c r="S8" i="28"/>
  <c r="R8" i="28"/>
  <c r="Q8" i="28"/>
  <c r="Y8" i="28"/>
  <c r="X8" i="28"/>
  <c r="AA8" i="28"/>
  <c r="AA48" i="28" s="1"/>
  <c r="Z8" i="28"/>
  <c r="H7" i="28"/>
  <c r="G7" i="28"/>
  <c r="F7" i="28"/>
  <c r="E7" i="28"/>
  <c r="D7" i="28"/>
  <c r="Q47" i="28" l="1"/>
  <c r="Q39" i="28"/>
  <c r="Q19" i="28"/>
  <c r="R47" i="28"/>
  <c r="R39" i="28"/>
  <c r="R19" i="28"/>
  <c r="S47" i="28"/>
  <c r="S39" i="28"/>
  <c r="S19" i="28"/>
  <c r="P47" i="28"/>
  <c r="P39" i="28"/>
  <c r="P19" i="28"/>
  <c r="T39" i="28"/>
  <c r="T47" i="28"/>
  <c r="T19" i="28"/>
  <c r="S48" i="28"/>
  <c r="U47" i="28"/>
  <c r="U39" i="28"/>
  <c r="U19" i="28"/>
  <c r="V47" i="28"/>
  <c r="V39" i="28"/>
  <c r="V19" i="28"/>
  <c r="W19" i="28"/>
  <c r="W47" i="28"/>
  <c r="W39" i="28"/>
  <c r="AC39" i="28"/>
  <c r="AC19" i="28"/>
  <c r="AC47" i="28"/>
  <c r="AD39" i="28"/>
  <c r="AD19" i="28"/>
  <c r="AD47" i="28"/>
  <c r="AB39" i="28"/>
  <c r="AB19" i="28"/>
  <c r="AB47" i="28"/>
  <c r="AE47" i="28"/>
  <c r="AE39" i="28"/>
  <c r="AE19" i="28"/>
  <c r="Z19" i="28"/>
  <c r="Z47" i="28"/>
  <c r="Z39" i="28"/>
  <c r="N19" i="28"/>
  <c r="N39" i="28"/>
  <c r="N47" i="28"/>
  <c r="AA39" i="28"/>
  <c r="AA19" i="28"/>
  <c r="AA47" i="28"/>
  <c r="L39" i="28"/>
  <c r="L47" i="28"/>
  <c r="L19" i="28"/>
  <c r="X47" i="28"/>
  <c r="X39" i="28"/>
  <c r="X19" i="28"/>
  <c r="M39" i="28"/>
  <c r="M19" i="28"/>
  <c r="M47" i="28"/>
  <c r="Y19" i="28"/>
  <c r="Y47" i="28"/>
  <c r="Y39" i="28"/>
  <c r="O47" i="28"/>
  <c r="O19" i="28"/>
  <c r="O39" i="28"/>
  <c r="W48" i="28"/>
  <c r="U48" i="28"/>
  <c r="T48" i="28"/>
  <c r="AC48" i="28"/>
  <c r="AB48" i="28"/>
  <c r="Z48" i="28"/>
  <c r="Y48" i="28"/>
  <c r="X48" i="28"/>
  <c r="AD48" i="28"/>
  <c r="M48" i="28"/>
  <c r="L48" i="28"/>
  <c r="N48" i="28"/>
  <c r="R48" i="28"/>
  <c r="Q48" i="28"/>
  <c r="P48" i="28"/>
  <c r="O3" i="43"/>
  <c r="M3" i="10"/>
  <c r="K3" i="10"/>
  <c r="M3" i="16"/>
  <c r="K3" i="16"/>
  <c r="K19" i="28" l="1"/>
  <c r="K16" i="28"/>
  <c r="K30" i="28"/>
  <c r="K18" i="28"/>
  <c r="K37" i="28"/>
  <c r="K47" i="28"/>
  <c r="K17" i="28"/>
  <c r="K46" i="28"/>
  <c r="K39" i="28"/>
  <c r="K15" i="28"/>
  <c r="K38" i="28"/>
  <c r="K36" i="28"/>
  <c r="K34" i="28"/>
  <c r="K35" i="28"/>
  <c r="K33" i="28"/>
  <c r="K29" i="28"/>
  <c r="K14" i="28"/>
  <c r="K28" i="28"/>
  <c r="K26" i="28"/>
  <c r="K27" i="28"/>
  <c r="F9" i="26"/>
  <c r="D7" i="26"/>
  <c r="K3" i="30" l="1"/>
  <c r="F5" i="28"/>
  <c r="D3" i="26"/>
  <c r="G9" i="1"/>
  <c r="D5" i="26"/>
  <c r="I3" i="30"/>
  <c r="D5" i="28"/>
  <c r="E9" i="1"/>
  <c r="D9" i="26"/>
  <c r="E7" i="1" l="1"/>
  <c r="H3" i="1"/>
  <c r="L14" i="1"/>
  <c r="K14" i="1"/>
  <c r="J14" i="1"/>
  <c r="I14" i="1"/>
  <c r="Z41" i="43" l="1"/>
  <c r="Z47" i="43"/>
  <c r="Z46" i="43"/>
  <c r="Z40" i="43"/>
  <c r="U35" i="43"/>
  <c r="Z35" i="43"/>
  <c r="U43" i="43"/>
  <c r="Z43" i="43"/>
  <c r="U42" i="43"/>
  <c r="Z42" i="43"/>
  <c r="U36" i="43"/>
  <c r="Z36" i="43"/>
  <c r="Z49" i="43"/>
  <c r="Z34" i="43"/>
  <c r="U48" i="43"/>
  <c r="Z48" i="43"/>
  <c r="U45" i="43"/>
  <c r="Z45" i="43"/>
  <c r="U40" i="43"/>
  <c r="U49" i="43"/>
  <c r="V49" i="43"/>
  <c r="U41" i="43"/>
  <c r="V47" i="43"/>
  <c r="U47" i="43"/>
  <c r="V34" i="43"/>
  <c r="U34" i="43"/>
  <c r="V46" i="43"/>
  <c r="U46" i="43"/>
  <c r="X43" i="43"/>
  <c r="X48" i="43"/>
  <c r="X47" i="43"/>
  <c r="L74" i="1"/>
  <c r="J74" i="1"/>
  <c r="K74" i="1"/>
  <c r="E75" i="26" l="1"/>
  <c r="L75" i="43"/>
  <c r="Q71" i="43"/>
  <c r="Q76" i="43"/>
  <c r="G19" i="26" l="1"/>
  <c r="H19" i="26" s="1"/>
  <c r="I19" i="26" s="1"/>
  <c r="G20" i="26"/>
  <c r="H20" i="26" s="1"/>
  <c r="I20" i="26" s="1"/>
  <c r="K75" i="26"/>
  <c r="G27" i="26"/>
  <c r="H27" i="26" s="1"/>
  <c r="G18" i="26"/>
  <c r="H18" i="26" s="1"/>
  <c r="G22" i="26"/>
  <c r="H22" i="26" s="1"/>
  <c r="G26" i="26"/>
  <c r="H26" i="26" s="1"/>
  <c r="G25" i="26"/>
  <c r="H25" i="26" s="1"/>
  <c r="G21" i="26"/>
  <c r="H21" i="26" s="1"/>
  <c r="T67" i="43" l="1"/>
  <c r="G23" i="26"/>
  <c r="H23" i="26" s="1"/>
  <c r="G24" i="26"/>
  <c r="H24" i="26" s="1"/>
  <c r="T65" i="43"/>
  <c r="T68" i="43"/>
  <c r="Z37" i="43"/>
  <c r="U37" i="43"/>
  <c r="U67" i="43" s="1"/>
  <c r="Z67" i="43" l="1"/>
  <c r="D74" i="26"/>
  <c r="Z68" i="43"/>
  <c r="U65" i="43"/>
  <c r="U68" i="43"/>
  <c r="Z65" i="43"/>
  <c r="I74" i="26" l="1"/>
  <c r="H74" i="26"/>
  <c r="G74" i="26"/>
  <c r="F74" i="26"/>
  <c r="E74" i="26"/>
  <c r="J76" i="43"/>
  <c r="J5" i="30" l="1"/>
  <c r="J6" i="30" s="1"/>
  <c r="AB44" i="28"/>
  <c r="J44" i="28"/>
  <c r="L49" i="1"/>
  <c r="L25" i="1"/>
  <c r="L37" i="1" s="1"/>
  <c r="I5" i="1"/>
  <c r="P5" i="43"/>
  <c r="I67" i="26"/>
  <c r="H5" i="26"/>
  <c r="L5" i="10"/>
  <c r="L5" i="16"/>
  <c r="I5" i="30"/>
  <c r="I6" i="30" s="1"/>
  <c r="X44" i="28"/>
  <c r="I44" i="28"/>
  <c r="K49" i="1"/>
  <c r="K25" i="1"/>
  <c r="K37" i="1" s="1"/>
  <c r="H5" i="1"/>
  <c r="H67" i="26"/>
  <c r="G5" i="26"/>
  <c r="K5" i="10"/>
  <c r="K5" i="16"/>
  <c r="H5" i="30"/>
  <c r="H6" i="30" s="1"/>
  <c r="T44" i="28"/>
  <c r="H44" i="28"/>
  <c r="J49" i="1"/>
  <c r="J25" i="1"/>
  <c r="J37" i="1" s="1"/>
  <c r="G5" i="1"/>
  <c r="N5" i="43"/>
  <c r="G67" i="26"/>
  <c r="F5" i="26"/>
  <c r="J5" i="10"/>
  <c r="J5" i="16"/>
  <c r="G5" i="30"/>
  <c r="G6" i="30" s="1"/>
  <c r="P44" i="28"/>
  <c r="G44" i="28"/>
  <c r="I49" i="1"/>
  <c r="I25" i="1"/>
  <c r="I37" i="1" s="1"/>
  <c r="F5" i="1"/>
  <c r="M5" i="43"/>
  <c r="F67" i="26"/>
  <c r="E5" i="26"/>
  <c r="I5" i="10"/>
  <c r="I5" i="16"/>
  <c r="F5" i="30"/>
  <c r="F6" i="30" s="1"/>
  <c r="L44" i="28"/>
  <c r="F44" i="28"/>
  <c r="H49" i="1"/>
  <c r="H25" i="1"/>
  <c r="H37" i="1" s="1"/>
  <c r="E5" i="1"/>
  <c r="L5" i="43"/>
  <c r="E67" i="26"/>
  <c r="E71" i="26" s="1"/>
  <c r="H5" i="10"/>
  <c r="H5" i="16"/>
  <c r="H76" i="43"/>
  <c r="H75" i="43"/>
  <c r="H71" i="43"/>
  <c r="H74" i="43"/>
  <c r="F71" i="26" l="1"/>
  <c r="F69" i="26"/>
  <c r="F70" i="26" s="1"/>
  <c r="I69" i="26"/>
  <c r="I70" i="26" s="1"/>
  <c r="I71" i="26"/>
  <c r="H69" i="26"/>
  <c r="H70" i="26" s="1"/>
  <c r="H71" i="26"/>
  <c r="G71" i="26"/>
  <c r="G69" i="26"/>
  <c r="G70" i="26" s="1"/>
  <c r="H15" i="1"/>
  <c r="J19" i="1"/>
  <c r="I15" i="1"/>
  <c r="J15" i="1"/>
  <c r="K15" i="1"/>
  <c r="J20" i="1"/>
  <c r="H20" i="1"/>
  <c r="I20" i="1"/>
  <c r="I16" i="1"/>
  <c r="J16" i="1"/>
  <c r="K16" i="1"/>
  <c r="K20" i="1"/>
  <c r="I19" i="1"/>
  <c r="I17" i="1"/>
  <c r="J17" i="1"/>
  <c r="K19" i="1"/>
  <c r="K17" i="1"/>
  <c r="I18" i="1"/>
  <c r="J18" i="1"/>
  <c r="K18" i="1"/>
  <c r="H16" i="1"/>
  <c r="H17" i="1"/>
  <c r="H19" i="1"/>
  <c r="H18" i="1"/>
  <c r="L35" i="1"/>
  <c r="L27" i="1"/>
  <c r="L18" i="1"/>
  <c r="L30" i="1"/>
  <c r="L20" i="1"/>
  <c r="L17" i="1"/>
  <c r="L29" i="1"/>
  <c r="L19" i="1"/>
  <c r="L26" i="1"/>
  <c r="L16" i="1"/>
  <c r="L15" i="1"/>
  <c r="I30" i="1"/>
  <c r="K30" i="1"/>
  <c r="J37" i="28"/>
  <c r="I37" i="28"/>
  <c r="L3" i="43"/>
  <c r="K22" i="1" l="1"/>
  <c r="I22" i="1"/>
  <c r="H22" i="1"/>
  <c r="J22" i="1"/>
  <c r="L22" i="1"/>
  <c r="G19" i="1"/>
  <c r="G16" i="1"/>
  <c r="G17" i="1"/>
  <c r="G18" i="1"/>
  <c r="G15" i="1"/>
  <c r="G20" i="1"/>
  <c r="G36" i="24"/>
  <c r="I36" i="24"/>
  <c r="J36" i="24" s="1"/>
  <c r="G37" i="24"/>
  <c r="I37" i="24"/>
  <c r="J37" i="24" s="1"/>
  <c r="G38" i="24"/>
  <c r="I38" i="24"/>
  <c r="J38" i="24" s="1"/>
  <c r="G39" i="24"/>
  <c r="I39" i="24"/>
  <c r="J39" i="24" s="1"/>
  <c r="G40" i="24"/>
  <c r="I40" i="24"/>
  <c r="J40" i="24" s="1"/>
  <c r="G41" i="24"/>
  <c r="I41" i="24"/>
  <c r="J41" i="24" s="1"/>
  <c r="G22" i="1" l="1"/>
  <c r="I72" i="26"/>
  <c r="N22" i="1" l="1"/>
  <c r="B27" i="10"/>
  <c r="B26" i="10"/>
  <c r="B25" i="10"/>
  <c r="B24" i="10"/>
  <c r="B23" i="10"/>
  <c r="B22" i="10"/>
  <c r="D22" i="10" s="1"/>
  <c r="R22" i="10" s="1"/>
  <c r="O22" i="1" l="1"/>
  <c r="I23" i="26"/>
  <c r="D26" i="10"/>
  <c r="R26" i="10" s="1"/>
  <c r="D23" i="10"/>
  <c r="R23" i="10" s="1"/>
  <c r="D27" i="10"/>
  <c r="R27" i="10" s="1"/>
  <c r="C24" i="10"/>
  <c r="D24" i="10"/>
  <c r="R24" i="10" s="1"/>
  <c r="D25" i="10"/>
  <c r="E25" i="10" s="1"/>
  <c r="C26" i="10"/>
  <c r="C25" i="10"/>
  <c r="C23" i="10"/>
  <c r="C27" i="10"/>
  <c r="C22" i="10"/>
  <c r="E27" i="10" l="1"/>
  <c r="E23" i="10"/>
  <c r="R25" i="10"/>
  <c r="E24" i="10"/>
  <c r="E26" i="10"/>
  <c r="I29" i="10"/>
  <c r="H29" i="10"/>
  <c r="P28" i="27" l="1"/>
  <c r="P27" i="27"/>
  <c r="P26" i="27"/>
  <c r="P25" i="27"/>
  <c r="P24" i="27"/>
  <c r="P23" i="27"/>
  <c r="P22" i="27"/>
  <c r="O27" i="27"/>
  <c r="O26" i="27"/>
  <c r="O25" i="27"/>
  <c r="O24" i="27"/>
  <c r="O23" i="27"/>
  <c r="O22" i="27"/>
  <c r="O21" i="27"/>
  <c r="L18" i="24" l="1"/>
  <c r="L1" i="24" s="1"/>
  <c r="A21" i="29" l="1"/>
  <c r="R6" i="30" l="1"/>
  <c r="Q6" i="30"/>
  <c r="P6" i="30"/>
  <c r="O6" i="30"/>
  <c r="H9" i="26"/>
  <c r="L6" i="30"/>
  <c r="A49" i="26" l="1"/>
  <c r="A52" i="26"/>
  <c r="A53" i="26"/>
  <c r="A48" i="26"/>
  <c r="I23" i="29" l="1"/>
  <c r="M23" i="29"/>
  <c r="I22" i="29"/>
  <c r="M22" i="29"/>
  <c r="I21" i="29"/>
  <c r="M21" i="29"/>
  <c r="I20" i="29"/>
  <c r="M20" i="29"/>
  <c r="I19" i="29"/>
  <c r="M19" i="29"/>
  <c r="I18" i="29"/>
  <c r="M18" i="29"/>
  <c r="I17" i="29"/>
  <c r="M17" i="29"/>
  <c r="I16" i="29"/>
  <c r="M16" i="29"/>
  <c r="P16" i="29" s="1"/>
  <c r="I15" i="29"/>
  <c r="M15" i="29"/>
  <c r="I14" i="29"/>
  <c r="M14" i="29"/>
  <c r="I13" i="29"/>
  <c r="M13" i="29"/>
  <c r="I12" i="29"/>
  <c r="M12" i="29"/>
  <c r="I11" i="29"/>
  <c r="M11" i="29"/>
  <c r="I10" i="29"/>
  <c r="M10" i="29"/>
  <c r="I9" i="29"/>
  <c r="M9" i="29"/>
  <c r="I8" i="29"/>
  <c r="M8" i="29"/>
  <c r="P8" i="29" s="1"/>
  <c r="I7" i="29"/>
  <c r="M7" i="29"/>
  <c r="I6" i="29"/>
  <c r="M6" i="29"/>
  <c r="H43" i="27"/>
  <c r="F23" i="29" s="1"/>
  <c r="C43" i="27"/>
  <c r="A23" i="29" s="1"/>
  <c r="H41" i="27"/>
  <c r="F22" i="29" s="1"/>
  <c r="C41" i="27"/>
  <c r="A22" i="29" s="1"/>
  <c r="X35" i="43"/>
  <c r="H40" i="27"/>
  <c r="X38" i="43" s="1"/>
  <c r="C40" i="27"/>
  <c r="A20" i="29" s="1"/>
  <c r="H39" i="27"/>
  <c r="C39" i="27"/>
  <c r="G38" i="27"/>
  <c r="W34" i="43" s="1"/>
  <c r="F37" i="28" s="1"/>
  <c r="C38" i="27"/>
  <c r="A18" i="29" s="1"/>
  <c r="G37" i="27"/>
  <c r="E17" i="29" s="1"/>
  <c r="C37" i="27"/>
  <c r="A17" i="29" s="1"/>
  <c r="G36" i="27"/>
  <c r="E16" i="29" s="1"/>
  <c r="C36" i="27"/>
  <c r="A16" i="29" s="1"/>
  <c r="G35" i="27"/>
  <c r="E15" i="29" s="1"/>
  <c r="C35" i="27"/>
  <c r="A15" i="29" s="1"/>
  <c r="N34" i="27"/>
  <c r="H34" i="27" s="1"/>
  <c r="F14" i="29" s="1"/>
  <c r="G34" i="27"/>
  <c r="E14" i="29" s="1"/>
  <c r="C34" i="27"/>
  <c r="A14" i="29" s="1"/>
  <c r="C33" i="27"/>
  <c r="C28" i="27"/>
  <c r="C27" i="27"/>
  <c r="A12" i="29" s="1"/>
  <c r="C26" i="27"/>
  <c r="A11" i="29" s="1"/>
  <c r="C25" i="27"/>
  <c r="A10" i="29" s="1"/>
  <c r="C24" i="27"/>
  <c r="A9" i="29" s="1"/>
  <c r="C23" i="27"/>
  <c r="A8" i="29" s="1"/>
  <c r="C22" i="27"/>
  <c r="A7" i="29" s="1"/>
  <c r="C21" i="27"/>
  <c r="A6" i="29" s="1"/>
  <c r="F3" i="30"/>
  <c r="J16" i="28"/>
  <c r="I14" i="28"/>
  <c r="H14" i="28"/>
  <c r="G14" i="28"/>
  <c r="F14" i="28"/>
  <c r="I26" i="28"/>
  <c r="H38" i="28"/>
  <c r="G27" i="28"/>
  <c r="D3" i="28"/>
  <c r="A41" i="26"/>
  <c r="A40" i="26"/>
  <c r="A39" i="26"/>
  <c r="A38" i="26"/>
  <c r="A37" i="26"/>
  <c r="A36" i="26"/>
  <c r="A35" i="26"/>
  <c r="A34" i="26"/>
  <c r="E3" i="1"/>
  <c r="B16" i="10"/>
  <c r="B15" i="10"/>
  <c r="B14" i="10"/>
  <c r="B13" i="10"/>
  <c r="B12" i="10"/>
  <c r="B11" i="10"/>
  <c r="C11" i="10" s="1"/>
  <c r="H3" i="10"/>
  <c r="B43" i="16"/>
  <c r="B42" i="16"/>
  <c r="B41" i="16"/>
  <c r="B40" i="16"/>
  <c r="B39" i="16"/>
  <c r="B38" i="16"/>
  <c r="B37" i="16"/>
  <c r="B36" i="16"/>
  <c r="B35" i="16"/>
  <c r="B34" i="16"/>
  <c r="B28" i="16"/>
  <c r="B27" i="16"/>
  <c r="B26" i="16"/>
  <c r="B25" i="16"/>
  <c r="B24" i="16"/>
  <c r="B23" i="16"/>
  <c r="B22" i="16"/>
  <c r="B21" i="16"/>
  <c r="B20" i="16"/>
  <c r="B19" i="16"/>
  <c r="B18" i="16"/>
  <c r="B17" i="16"/>
  <c r="B16" i="16"/>
  <c r="B15" i="16"/>
  <c r="B14" i="16"/>
  <c r="B13" i="16"/>
  <c r="B12" i="16"/>
  <c r="B11" i="16"/>
  <c r="H3" i="16"/>
  <c r="V36" i="43" l="1"/>
  <c r="G32" i="28" s="1"/>
  <c r="V37" i="43"/>
  <c r="I39" i="27"/>
  <c r="C36" i="43"/>
  <c r="C35" i="43"/>
  <c r="F20" i="29"/>
  <c r="X36" i="43"/>
  <c r="G33" i="28" s="1"/>
  <c r="E10" i="29"/>
  <c r="E9" i="29"/>
  <c r="G9" i="29" s="1"/>
  <c r="E12" i="29"/>
  <c r="E13" i="29"/>
  <c r="E6" i="29"/>
  <c r="G6" i="29" s="1"/>
  <c r="Q18" i="29"/>
  <c r="P18" i="29"/>
  <c r="P12" i="29"/>
  <c r="Q12" i="29"/>
  <c r="P20" i="29"/>
  <c r="Q20" i="29"/>
  <c r="P13" i="29"/>
  <c r="Q13" i="29"/>
  <c r="P21" i="29"/>
  <c r="Q21" i="29"/>
  <c r="Q11" i="29"/>
  <c r="P11" i="29"/>
  <c r="P6" i="29"/>
  <c r="Q6" i="29"/>
  <c r="Q14" i="29"/>
  <c r="P14" i="29"/>
  <c r="P22" i="29"/>
  <c r="Q22" i="29"/>
  <c r="P19" i="29"/>
  <c r="Q19" i="29"/>
  <c r="P7" i="29"/>
  <c r="Q7" i="29"/>
  <c r="Q15" i="29"/>
  <c r="P15" i="29"/>
  <c r="P23" i="29"/>
  <c r="Q23" i="29"/>
  <c r="P10" i="29"/>
  <c r="Q10" i="29"/>
  <c r="P9" i="29"/>
  <c r="Q9" i="29"/>
  <c r="Q17" i="29"/>
  <c r="P17" i="29"/>
  <c r="Q8" i="29"/>
  <c r="Q16" i="29"/>
  <c r="F21" i="29"/>
  <c r="X37" i="43"/>
  <c r="I33" i="28" s="1"/>
  <c r="I38" i="27"/>
  <c r="E18" i="29"/>
  <c r="G18" i="29" s="1"/>
  <c r="AB12" i="29"/>
  <c r="A19" i="29"/>
  <c r="X49" i="43"/>
  <c r="F19" i="29"/>
  <c r="E19" i="29"/>
  <c r="W43" i="43"/>
  <c r="W48" i="43"/>
  <c r="W35" i="43"/>
  <c r="X42" i="43"/>
  <c r="X40" i="43"/>
  <c r="I34" i="28" s="1"/>
  <c r="X45" i="43"/>
  <c r="X46" i="43"/>
  <c r="W47" i="43"/>
  <c r="W49" i="43"/>
  <c r="D14" i="10"/>
  <c r="R14" i="10" s="1"/>
  <c r="D11" i="10"/>
  <c r="R11" i="10" s="1"/>
  <c r="I18" i="10" s="1"/>
  <c r="D15" i="10"/>
  <c r="R15" i="10" s="1"/>
  <c r="D16" i="10"/>
  <c r="R16" i="10" s="1"/>
  <c r="D12" i="10"/>
  <c r="R12" i="10" s="1"/>
  <c r="D13" i="10"/>
  <c r="R13" i="10" s="1"/>
  <c r="D11" i="16"/>
  <c r="R11" i="16" s="1"/>
  <c r="C27" i="16"/>
  <c r="D27" i="16"/>
  <c r="R27" i="16" s="1"/>
  <c r="D28" i="16"/>
  <c r="R28" i="16" s="1"/>
  <c r="D34" i="16"/>
  <c r="R34" i="16" s="1"/>
  <c r="D14" i="16"/>
  <c r="R14" i="16" s="1"/>
  <c r="E69" i="26" s="1"/>
  <c r="E70" i="26" s="1"/>
  <c r="D35" i="16"/>
  <c r="R35" i="16" s="1"/>
  <c r="D36" i="16"/>
  <c r="E36" i="16" s="1"/>
  <c r="D13" i="16"/>
  <c r="R13" i="16" s="1"/>
  <c r="D15" i="16"/>
  <c r="R15" i="16" s="1"/>
  <c r="D16" i="16"/>
  <c r="R16" i="16" s="1"/>
  <c r="D37" i="16"/>
  <c r="R37" i="16" s="1"/>
  <c r="D38" i="16"/>
  <c r="R38" i="16" s="1"/>
  <c r="D18" i="16"/>
  <c r="R18" i="16" s="1"/>
  <c r="D39" i="16"/>
  <c r="E39" i="16" s="1"/>
  <c r="D40" i="16"/>
  <c r="R40" i="16" s="1"/>
  <c r="D17" i="16"/>
  <c r="E17" i="16" s="1"/>
  <c r="D41" i="16"/>
  <c r="E41" i="16" s="1"/>
  <c r="D42" i="16"/>
  <c r="E42" i="16" s="1"/>
  <c r="D20" i="16"/>
  <c r="R20" i="16" s="1"/>
  <c r="D22" i="16"/>
  <c r="R22" i="16" s="1"/>
  <c r="D43" i="16"/>
  <c r="E43" i="16" s="1"/>
  <c r="D23" i="16"/>
  <c r="E23" i="16" s="1"/>
  <c r="D26" i="16"/>
  <c r="E26" i="16" s="1"/>
  <c r="D24" i="16"/>
  <c r="R24" i="16" s="1"/>
  <c r="C19" i="16"/>
  <c r="D19" i="16"/>
  <c r="R19" i="16" s="1"/>
  <c r="D21" i="16"/>
  <c r="E21" i="16" s="1"/>
  <c r="C25" i="16"/>
  <c r="D25" i="16"/>
  <c r="R25" i="16" s="1"/>
  <c r="C12" i="10"/>
  <c r="C16" i="10"/>
  <c r="C15" i="10"/>
  <c r="C13" i="10"/>
  <c r="C14" i="10"/>
  <c r="D12" i="16"/>
  <c r="R12" i="16" s="1"/>
  <c r="C16" i="16"/>
  <c r="E21" i="29"/>
  <c r="C18" i="16"/>
  <c r="C15" i="16"/>
  <c r="E23" i="29"/>
  <c r="G12" i="29"/>
  <c r="I28" i="27"/>
  <c r="E22" i="29"/>
  <c r="I33" i="27"/>
  <c r="I36" i="27"/>
  <c r="O22" i="29"/>
  <c r="O18" i="29"/>
  <c r="O15" i="29"/>
  <c r="O23" i="29"/>
  <c r="O14" i="29"/>
  <c r="I34" i="27"/>
  <c r="I37" i="27"/>
  <c r="I35" i="27"/>
  <c r="C17" i="16"/>
  <c r="C22" i="16"/>
  <c r="J34" i="1"/>
  <c r="O17" i="29"/>
  <c r="O13" i="29"/>
  <c r="O7" i="29"/>
  <c r="O8" i="29"/>
  <c r="O9" i="29"/>
  <c r="O20" i="29"/>
  <c r="O21" i="29"/>
  <c r="O11" i="29"/>
  <c r="O12" i="29"/>
  <c r="O6" i="29"/>
  <c r="O10" i="29"/>
  <c r="AB11" i="29"/>
  <c r="O16" i="29"/>
  <c r="O19" i="29"/>
  <c r="F38" i="28"/>
  <c r="C43" i="16"/>
  <c r="AB7" i="29"/>
  <c r="AB10" i="29"/>
  <c r="AB9" i="29"/>
  <c r="AB8" i="29"/>
  <c r="AB6" i="29"/>
  <c r="H26" i="28"/>
  <c r="I15" i="28"/>
  <c r="F36" i="28"/>
  <c r="G36" i="28"/>
  <c r="H28" i="28"/>
  <c r="H36" i="28"/>
  <c r="I28" i="28"/>
  <c r="I36" i="28"/>
  <c r="I9" i="1"/>
  <c r="J14" i="28"/>
  <c r="E14" i="28" s="1"/>
  <c r="AG14" i="28" s="1"/>
  <c r="J26" i="28"/>
  <c r="J36" i="28"/>
  <c r="J27" i="28"/>
  <c r="J28" i="28"/>
  <c r="C36" i="16"/>
  <c r="C26" i="16"/>
  <c r="C23" i="16"/>
  <c r="C20" i="16"/>
  <c r="C38" i="16"/>
  <c r="C24" i="16"/>
  <c r="K33" i="1"/>
  <c r="C21" i="16"/>
  <c r="C39" i="16"/>
  <c r="I34" i="1"/>
  <c r="C41" i="16"/>
  <c r="C40" i="16"/>
  <c r="C37" i="16"/>
  <c r="C42" i="16"/>
  <c r="H39" i="1"/>
  <c r="E14" i="10"/>
  <c r="G17" i="28"/>
  <c r="F29" i="28"/>
  <c r="F15" i="28"/>
  <c r="H17" i="28"/>
  <c r="G15" i="28"/>
  <c r="I17" i="28"/>
  <c r="F17" i="28"/>
  <c r="G29" i="28"/>
  <c r="F27" i="28"/>
  <c r="H29" i="28"/>
  <c r="H15" i="28"/>
  <c r="J17" i="28"/>
  <c r="I29" i="28"/>
  <c r="H27" i="28"/>
  <c r="J29" i="28"/>
  <c r="F35" i="28"/>
  <c r="G38" i="28"/>
  <c r="J15" i="28"/>
  <c r="I27" i="28"/>
  <c r="G35" i="28"/>
  <c r="F18" i="28"/>
  <c r="H35" i="28"/>
  <c r="I38" i="28"/>
  <c r="G18" i="28"/>
  <c r="F30" i="28"/>
  <c r="I35" i="28"/>
  <c r="J38" i="28"/>
  <c r="F16" i="28"/>
  <c r="H18" i="28"/>
  <c r="G30" i="28"/>
  <c r="J35" i="28"/>
  <c r="G16" i="28"/>
  <c r="I18" i="28"/>
  <c r="F28" i="28"/>
  <c r="H30" i="28"/>
  <c r="H16" i="28"/>
  <c r="J18" i="28"/>
  <c r="G28" i="28"/>
  <c r="I30" i="28"/>
  <c r="I16" i="28"/>
  <c r="F26" i="28"/>
  <c r="J30" i="28"/>
  <c r="G26" i="28"/>
  <c r="K39" i="1"/>
  <c r="L39" i="1"/>
  <c r="L34" i="1"/>
  <c r="C28" i="16"/>
  <c r="C14" i="16"/>
  <c r="C35" i="16"/>
  <c r="C13" i="16"/>
  <c r="E22" i="10"/>
  <c r="C11" i="16"/>
  <c r="C34" i="16"/>
  <c r="C12" i="16"/>
  <c r="E15" i="16" l="1"/>
  <c r="E40" i="16"/>
  <c r="E14" i="16"/>
  <c r="F32" i="28"/>
  <c r="E32" i="28" s="1"/>
  <c r="AG32" i="28" s="1"/>
  <c r="K34" i="1"/>
  <c r="F33" i="28"/>
  <c r="F34" i="28"/>
  <c r="E13" i="10"/>
  <c r="I25" i="27"/>
  <c r="E11" i="29"/>
  <c r="V12" i="43"/>
  <c r="Y12" i="43" s="1"/>
  <c r="V38" i="43"/>
  <c r="W37" i="43"/>
  <c r="I24" i="27"/>
  <c r="V39" i="43"/>
  <c r="H31" i="28" s="1"/>
  <c r="E7" i="29"/>
  <c r="G7" i="29" s="1"/>
  <c r="V16" i="43"/>
  <c r="Y16" i="43" s="1"/>
  <c r="E8" i="29"/>
  <c r="G8" i="29" s="1"/>
  <c r="V11" i="43"/>
  <c r="Y11" i="43" s="1"/>
  <c r="V40" i="43"/>
  <c r="K26" i="1" s="1"/>
  <c r="V41" i="43"/>
  <c r="E12" i="10"/>
  <c r="X67" i="43"/>
  <c r="X68" i="43"/>
  <c r="H30" i="1"/>
  <c r="H34" i="28"/>
  <c r="F72" i="26"/>
  <c r="E72" i="26"/>
  <c r="E12" i="16"/>
  <c r="H18" i="29"/>
  <c r="K18" i="29" s="1"/>
  <c r="U18" i="29" s="1"/>
  <c r="E15" i="10"/>
  <c r="E38" i="16"/>
  <c r="D69" i="26"/>
  <c r="H27" i="1"/>
  <c r="J27" i="1"/>
  <c r="I27" i="1"/>
  <c r="K27" i="1"/>
  <c r="X65" i="43"/>
  <c r="H72" i="26"/>
  <c r="G72" i="26"/>
  <c r="E16" i="10"/>
  <c r="W40" i="43"/>
  <c r="E20" i="29"/>
  <c r="G20" i="29" s="1"/>
  <c r="AA12" i="29"/>
  <c r="G17" i="29"/>
  <c r="H17" i="29" s="1"/>
  <c r="G16" i="29"/>
  <c r="G15" i="29"/>
  <c r="Y48" i="43"/>
  <c r="G14" i="29"/>
  <c r="I26" i="27"/>
  <c r="Y47" i="43"/>
  <c r="I39" i="1"/>
  <c r="R1" i="10"/>
  <c r="W36" i="43"/>
  <c r="G10" i="29"/>
  <c r="G21" i="29"/>
  <c r="W46" i="43"/>
  <c r="W45" i="43"/>
  <c r="W42" i="43"/>
  <c r="Y49" i="43"/>
  <c r="G19" i="29"/>
  <c r="E27" i="16"/>
  <c r="E19" i="16"/>
  <c r="AA18" i="29"/>
  <c r="AA9" i="29"/>
  <c r="Y43" i="43"/>
  <c r="R17" i="16"/>
  <c r="E24" i="16"/>
  <c r="H18" i="10"/>
  <c r="E18" i="16"/>
  <c r="E25" i="16"/>
  <c r="R26" i="16"/>
  <c r="R36" i="16"/>
  <c r="R43" i="16"/>
  <c r="R21" i="16"/>
  <c r="R39" i="16"/>
  <c r="R42" i="16"/>
  <c r="R23" i="16"/>
  <c r="R41" i="16"/>
  <c r="G11" i="29"/>
  <c r="E16" i="16"/>
  <c r="E22" i="16"/>
  <c r="E20" i="16"/>
  <c r="E37" i="16"/>
  <c r="D71" i="26"/>
  <c r="I45" i="16"/>
  <c r="J39" i="1"/>
  <c r="G13" i="29"/>
  <c r="I23" i="27"/>
  <c r="I40" i="27"/>
  <c r="J33" i="1"/>
  <c r="I21" i="27"/>
  <c r="AA6" i="29" s="1"/>
  <c r="I22" i="27"/>
  <c r="G23" i="29"/>
  <c r="I43" i="27"/>
  <c r="G22" i="29"/>
  <c r="I41" i="27"/>
  <c r="I27" i="27"/>
  <c r="H34" i="1"/>
  <c r="I33" i="1"/>
  <c r="E36" i="28"/>
  <c r="AG36" i="28" s="1"/>
  <c r="H19" i="28"/>
  <c r="E27" i="28"/>
  <c r="AG27" i="28" s="1"/>
  <c r="J19" i="28"/>
  <c r="I19" i="28"/>
  <c r="E38" i="28"/>
  <c r="AG38" i="28" s="1"/>
  <c r="G19" i="28"/>
  <c r="E15" i="28"/>
  <c r="AG15" i="28" s="1"/>
  <c r="E26" i="28"/>
  <c r="AG26" i="28" s="1"/>
  <c r="E17" i="28"/>
  <c r="AG17" i="28" s="1"/>
  <c r="E29" i="28"/>
  <c r="AG29" i="28" s="1"/>
  <c r="E16" i="28"/>
  <c r="AG16" i="28" s="1"/>
  <c r="E35" i="28"/>
  <c r="AG35" i="28" s="1"/>
  <c r="E30" i="28"/>
  <c r="AG30" i="28" s="1"/>
  <c r="E18" i="28"/>
  <c r="AG18" i="28" s="1"/>
  <c r="E28" i="28"/>
  <c r="AG28" i="28" s="1"/>
  <c r="F19" i="28"/>
  <c r="H9" i="29"/>
  <c r="K9" i="29" s="1"/>
  <c r="U9" i="29" s="1"/>
  <c r="E13" i="16"/>
  <c r="E34" i="16"/>
  <c r="E28" i="16"/>
  <c r="E11" i="16"/>
  <c r="E11" i="10"/>
  <c r="E35" i="16"/>
  <c r="K29" i="1" l="1"/>
  <c r="I29" i="1"/>
  <c r="H29" i="1"/>
  <c r="J29" i="1"/>
  <c r="J30" i="1"/>
  <c r="J26" i="1"/>
  <c r="V68" i="43"/>
  <c r="Y38" i="43"/>
  <c r="G31" i="28"/>
  <c r="I26" i="1"/>
  <c r="V67" i="43"/>
  <c r="V65" i="43"/>
  <c r="F31" i="28"/>
  <c r="Y39" i="43"/>
  <c r="H26" i="1"/>
  <c r="R1" i="16"/>
  <c r="H37" i="28"/>
  <c r="W68" i="43"/>
  <c r="T18" i="29"/>
  <c r="T9" i="29"/>
  <c r="S9" i="29"/>
  <c r="S18" i="29"/>
  <c r="W18" i="29"/>
  <c r="Y18" i="29"/>
  <c r="N18" i="29"/>
  <c r="X18" i="29"/>
  <c r="H21" i="29"/>
  <c r="K21" i="29" s="1"/>
  <c r="AA17" i="29"/>
  <c r="K17" i="29"/>
  <c r="H16" i="29"/>
  <c r="K16" i="29" s="1"/>
  <c r="H13" i="29"/>
  <c r="K13" i="29" s="1"/>
  <c r="AA10" i="29"/>
  <c r="AA11" i="29"/>
  <c r="H14" i="29"/>
  <c r="K14" i="29" s="1"/>
  <c r="H19" i="29"/>
  <c r="K19" i="29" s="1"/>
  <c r="H15" i="29"/>
  <c r="K15" i="29" s="1"/>
  <c r="N9" i="29"/>
  <c r="X9" i="29"/>
  <c r="Y9" i="29"/>
  <c r="W9" i="29"/>
  <c r="H35" i="1"/>
  <c r="J35" i="1"/>
  <c r="I35" i="1"/>
  <c r="K35" i="1"/>
  <c r="W67" i="43"/>
  <c r="W65" i="43"/>
  <c r="Y36" i="43"/>
  <c r="D72" i="26"/>
  <c r="AA14" i="29"/>
  <c r="AA15" i="29"/>
  <c r="H10" i="29"/>
  <c r="AA16" i="29"/>
  <c r="Y46" i="43"/>
  <c r="AA13" i="29"/>
  <c r="G39" i="1"/>
  <c r="AA21" i="29"/>
  <c r="AA19" i="29"/>
  <c r="I49" i="26"/>
  <c r="B49" i="26"/>
  <c r="B52" i="26"/>
  <c r="I53" i="26"/>
  <c r="B53" i="26"/>
  <c r="C49" i="26"/>
  <c r="C50" i="26"/>
  <c r="C53" i="26"/>
  <c r="B48" i="26"/>
  <c r="C52" i="26"/>
  <c r="D48" i="26"/>
  <c r="C48" i="26"/>
  <c r="I48" i="26"/>
  <c r="I50" i="26"/>
  <c r="B50" i="26"/>
  <c r="D50" i="26"/>
  <c r="I52" i="26"/>
  <c r="B51" i="26"/>
  <c r="D53" i="26"/>
  <c r="D52" i="26"/>
  <c r="C51" i="26"/>
  <c r="D51" i="26"/>
  <c r="I51" i="26"/>
  <c r="D49" i="26"/>
  <c r="Y35" i="43"/>
  <c r="Y34" i="43"/>
  <c r="AA23" i="29"/>
  <c r="Y42" i="43"/>
  <c r="Y45" i="43"/>
  <c r="Y40" i="43"/>
  <c r="H11" i="29"/>
  <c r="AA7" i="29"/>
  <c r="Y41" i="43"/>
  <c r="H45" i="16"/>
  <c r="Y37" i="43"/>
  <c r="H30" i="16"/>
  <c r="H22" i="29"/>
  <c r="K22" i="29" s="1"/>
  <c r="AA22" i="29"/>
  <c r="H20" i="29"/>
  <c r="AA20" i="29"/>
  <c r="H12" i="29"/>
  <c r="H8" i="29"/>
  <c r="AA8" i="29"/>
  <c r="H33" i="1"/>
  <c r="I34" i="26"/>
  <c r="C34" i="26"/>
  <c r="C35" i="26"/>
  <c r="D35" i="26"/>
  <c r="B35" i="26"/>
  <c r="I35" i="26"/>
  <c r="B34" i="26"/>
  <c r="D34" i="26"/>
  <c r="C39" i="26"/>
  <c r="C41" i="26"/>
  <c r="D38" i="26"/>
  <c r="C36" i="26"/>
  <c r="D40" i="26"/>
  <c r="B41" i="26"/>
  <c r="C37" i="26"/>
  <c r="D36" i="26"/>
  <c r="I36" i="26"/>
  <c r="I40" i="26"/>
  <c r="I41" i="26"/>
  <c r="D39" i="26"/>
  <c r="I37" i="26"/>
  <c r="B36" i="26"/>
  <c r="D37" i="26"/>
  <c r="B37" i="26"/>
  <c r="B39" i="26"/>
  <c r="C38" i="26"/>
  <c r="D41" i="26"/>
  <c r="B40" i="26"/>
  <c r="I38" i="26"/>
  <c r="C40" i="26"/>
  <c r="B38" i="26"/>
  <c r="I39" i="26"/>
  <c r="L33" i="1"/>
  <c r="H6" i="29"/>
  <c r="H7" i="29"/>
  <c r="K7" i="29" s="1"/>
  <c r="G34" i="1"/>
  <c r="H23" i="29"/>
  <c r="K23" i="29" s="1"/>
  <c r="E19" i="28"/>
  <c r="AG19" i="28" s="1"/>
  <c r="E31" i="28" l="1"/>
  <c r="AG31" i="28" s="1"/>
  <c r="N34" i="1"/>
  <c r="O34" i="1" s="1"/>
  <c r="T14" i="29"/>
  <c r="S14" i="29"/>
  <c r="U14" i="29"/>
  <c r="U22" i="29"/>
  <c r="T22" i="29"/>
  <c r="S22" i="29"/>
  <c r="S13" i="29"/>
  <c r="U13" i="29"/>
  <c r="T13" i="29"/>
  <c r="T16" i="29"/>
  <c r="S16" i="29"/>
  <c r="U16" i="29"/>
  <c r="S17" i="29"/>
  <c r="T17" i="29"/>
  <c r="U17" i="29"/>
  <c r="U7" i="29"/>
  <c r="S7" i="29"/>
  <c r="T7" i="29"/>
  <c r="T21" i="29"/>
  <c r="U21" i="29"/>
  <c r="S21" i="29"/>
  <c r="T23" i="29"/>
  <c r="S23" i="29"/>
  <c r="U23" i="29"/>
  <c r="T19" i="29"/>
  <c r="S19" i="29"/>
  <c r="U19" i="29"/>
  <c r="T15" i="29"/>
  <c r="U15" i="29"/>
  <c r="S15" i="29"/>
  <c r="N17" i="29"/>
  <c r="X15" i="29"/>
  <c r="N15" i="29"/>
  <c r="Y17" i="29"/>
  <c r="W14" i="29"/>
  <c r="N14" i="29"/>
  <c r="X14" i="29"/>
  <c r="Y14" i="29"/>
  <c r="N13" i="29"/>
  <c r="X13" i="29"/>
  <c r="W13" i="29"/>
  <c r="Y13" i="29"/>
  <c r="Y19" i="29"/>
  <c r="X19" i="29"/>
  <c r="W19" i="29"/>
  <c r="N19" i="29"/>
  <c r="N16" i="29"/>
  <c r="X16" i="29"/>
  <c r="W16" i="29"/>
  <c r="Y16" i="29"/>
  <c r="Y21" i="29"/>
  <c r="N21" i="29"/>
  <c r="W21" i="29"/>
  <c r="X21" i="29"/>
  <c r="K6" i="29"/>
  <c r="W15" i="29"/>
  <c r="K8" i="29"/>
  <c r="K12" i="29"/>
  <c r="Y15" i="29"/>
  <c r="K20" i="29"/>
  <c r="X22" i="29"/>
  <c r="W17" i="29"/>
  <c r="K11" i="29"/>
  <c r="Y11" i="29" s="1"/>
  <c r="X17" i="29"/>
  <c r="X23" i="29"/>
  <c r="K10" i="29"/>
  <c r="X7" i="29"/>
  <c r="N22" i="29"/>
  <c r="W22" i="29"/>
  <c r="Y22" i="29"/>
  <c r="N7" i="29"/>
  <c r="W7" i="29"/>
  <c r="Y7" i="29"/>
  <c r="N23" i="29"/>
  <c r="Y23" i="29"/>
  <c r="W23" i="29"/>
  <c r="Y68" i="43"/>
  <c r="N39" i="1"/>
  <c r="O39" i="1" s="1"/>
  <c r="Y67" i="43"/>
  <c r="Y65" i="43"/>
  <c r="G30" i="1"/>
  <c r="N30" i="1" s="1"/>
  <c r="I55" i="26"/>
  <c r="G29" i="1"/>
  <c r="N29" i="1" s="1"/>
  <c r="G33" i="1"/>
  <c r="D70" i="26"/>
  <c r="D68" i="26" s="1"/>
  <c r="I43" i="26"/>
  <c r="K43" i="26" s="1"/>
  <c r="L43" i="26" s="1"/>
  <c r="I32" i="1"/>
  <c r="E34" i="28"/>
  <c r="AG34" i="28" s="1"/>
  <c r="L32" i="1"/>
  <c r="L36" i="1" s="1"/>
  <c r="J32" i="1"/>
  <c r="G26" i="1"/>
  <c r="N26" i="1" s="1"/>
  <c r="H32" i="1"/>
  <c r="G27" i="1"/>
  <c r="I22" i="26"/>
  <c r="I21" i="26"/>
  <c r="I25" i="26"/>
  <c r="I18" i="26"/>
  <c r="I27" i="26"/>
  <c r="I26" i="26"/>
  <c r="E33" i="28"/>
  <c r="AG33" i="28" s="1"/>
  <c r="G35" i="1"/>
  <c r="K32" i="1"/>
  <c r="W11" i="29" l="1"/>
  <c r="I68" i="26"/>
  <c r="E68" i="26"/>
  <c r="H68" i="26"/>
  <c r="G68" i="26"/>
  <c r="F68" i="26"/>
  <c r="S8" i="29"/>
  <c r="T8" i="29"/>
  <c r="U8" i="29"/>
  <c r="T6" i="29"/>
  <c r="S6" i="29"/>
  <c r="W6" i="29" s="1"/>
  <c r="U6" i="29"/>
  <c r="U10" i="29"/>
  <c r="T10" i="29"/>
  <c r="S10" i="29"/>
  <c r="N11" i="29"/>
  <c r="U11" i="29"/>
  <c r="T11" i="29"/>
  <c r="S11" i="29"/>
  <c r="S12" i="29"/>
  <c r="T12" i="29"/>
  <c r="U12" i="29"/>
  <c r="T20" i="29"/>
  <c r="S20" i="29"/>
  <c r="U20" i="29"/>
  <c r="Y8" i="29"/>
  <c r="W10" i="29"/>
  <c r="Y12" i="29"/>
  <c r="X11" i="29"/>
  <c r="W20" i="29"/>
  <c r="N6" i="29"/>
  <c r="X10" i="29"/>
  <c r="N20" i="29"/>
  <c r="Y20" i="29"/>
  <c r="X20" i="29"/>
  <c r="N8" i="29"/>
  <c r="Y10" i="29"/>
  <c r="X6" i="29"/>
  <c r="X8" i="29"/>
  <c r="N10" i="29"/>
  <c r="X12" i="29"/>
  <c r="Y6" i="29"/>
  <c r="W12" i="29"/>
  <c r="N12" i="29"/>
  <c r="W8" i="29"/>
  <c r="N27" i="1"/>
  <c r="O27" i="1" s="1"/>
  <c r="N33" i="1"/>
  <c r="O33" i="1" s="1"/>
  <c r="O30" i="1"/>
  <c r="N35" i="1"/>
  <c r="O35" i="1" s="1"/>
  <c r="K55" i="26"/>
  <c r="L55" i="26" s="1"/>
  <c r="O29" i="1"/>
  <c r="I50" i="1"/>
  <c r="J36" i="1"/>
  <c r="J41" i="1" s="1"/>
  <c r="K36" i="1"/>
  <c r="K41" i="1" s="1"/>
  <c r="H36" i="1"/>
  <c r="H41" i="1" s="1"/>
  <c r="O26" i="1"/>
  <c r="I51" i="1"/>
  <c r="I36" i="1"/>
  <c r="I41" i="1" s="1"/>
  <c r="J50" i="1"/>
  <c r="J51" i="1"/>
  <c r="L50" i="1"/>
  <c r="L51" i="1"/>
  <c r="G32" i="1"/>
  <c r="H50" i="1"/>
  <c r="H51" i="1"/>
  <c r="I24" i="26"/>
  <c r="G29" i="26"/>
  <c r="K50" i="1"/>
  <c r="K51" i="1"/>
  <c r="K68" i="26" l="1"/>
  <c r="L68" i="26" s="1"/>
  <c r="N32" i="1"/>
  <c r="N1" i="1" s="1"/>
  <c r="G50" i="1"/>
  <c r="I52" i="1"/>
  <c r="G37" i="1"/>
  <c r="H52" i="1"/>
  <c r="J52" i="1"/>
  <c r="L52" i="1"/>
  <c r="L41" i="1"/>
  <c r="G51" i="1"/>
  <c r="I29" i="26"/>
  <c r="K52" i="1"/>
  <c r="G36" i="1"/>
  <c r="G41" i="1" l="1"/>
  <c r="K29" i="26"/>
  <c r="L29" i="26" s="1"/>
  <c r="K74" i="26"/>
  <c r="L74" i="26" s="1"/>
  <c r="I57" i="26"/>
  <c r="D77" i="26" s="1"/>
  <c r="O74" i="1"/>
  <c r="O32" i="1"/>
  <c r="G52" i="1"/>
  <c r="I77" i="26" l="1"/>
  <c r="I79" i="26" s="1"/>
  <c r="D79" i="26" l="1"/>
  <c r="K79" i="26" s="1"/>
  <c r="L79" i="26" s="1"/>
  <c r="E77" i="26"/>
  <c r="E79" i="26" s="1"/>
  <c r="F46" i="28" s="1"/>
  <c r="F77" i="26"/>
  <c r="F79" i="26" s="1"/>
  <c r="G46" i="28" s="1"/>
  <c r="G77" i="26"/>
  <c r="G79" i="26" s="1"/>
  <c r="H46" i="28" s="1"/>
  <c r="H77" i="26"/>
  <c r="H79" i="26" s="1"/>
  <c r="I46" i="28" s="1"/>
  <c r="J46" i="28"/>
  <c r="L43" i="1"/>
  <c r="G39" i="28"/>
  <c r="I39" i="28"/>
  <c r="J39" i="28"/>
  <c r="H39" i="28"/>
  <c r="F39" i="28"/>
  <c r="K1" i="26" l="1"/>
  <c r="H43" i="1"/>
  <c r="H45" i="1" s="1"/>
  <c r="I43" i="1"/>
  <c r="I55" i="1" s="1"/>
  <c r="J43" i="1"/>
  <c r="J55" i="1" s="1"/>
  <c r="K43" i="1"/>
  <c r="K56" i="1" s="1"/>
  <c r="L45" i="1"/>
  <c r="L58" i="1"/>
  <c r="L60" i="1"/>
  <c r="L54" i="1"/>
  <c r="L56" i="1"/>
  <c r="L46" i="1"/>
  <c r="L55" i="1"/>
  <c r="L59" i="1"/>
  <c r="E46" i="28"/>
  <c r="AG46" i="28" s="1"/>
  <c r="E37" i="28"/>
  <c r="G47" i="28"/>
  <c r="J47" i="28"/>
  <c r="H56" i="1" l="1"/>
  <c r="H60" i="1"/>
  <c r="J45" i="1"/>
  <c r="J46" i="1"/>
  <c r="J59" i="1"/>
  <c r="J60" i="1"/>
  <c r="J58" i="1"/>
  <c r="I58" i="1"/>
  <c r="I46" i="1"/>
  <c r="I45" i="1"/>
  <c r="I54" i="1"/>
  <c r="I59" i="1"/>
  <c r="I60" i="1"/>
  <c r="I56" i="1"/>
  <c r="K60" i="1"/>
  <c r="K54" i="1"/>
  <c r="K46" i="1"/>
  <c r="K55" i="1"/>
  <c r="H55" i="1"/>
  <c r="H46" i="1"/>
  <c r="H58" i="1"/>
  <c r="H59" i="1"/>
  <c r="H54" i="1"/>
  <c r="G43" i="1"/>
  <c r="G58" i="1" s="1"/>
  <c r="J54" i="1"/>
  <c r="J56" i="1"/>
  <c r="K59" i="1"/>
  <c r="K45" i="1"/>
  <c r="K58" i="1"/>
  <c r="E39" i="28"/>
  <c r="AG39" i="28" s="1"/>
  <c r="AG37" i="28"/>
  <c r="I47" i="28"/>
  <c r="H47" i="28"/>
  <c r="F47" i="28"/>
  <c r="G45" i="1" l="1"/>
  <c r="G60" i="1"/>
  <c r="G46" i="1"/>
  <c r="G59" i="1"/>
  <c r="E47" i="28"/>
  <c r="AG47" i="28" s="1"/>
  <c r="AG1" i="28" s="1"/>
  <c r="G55" i="1"/>
  <c r="G54" i="1"/>
  <c r="G56" i="1"/>
  <c r="Q7" i="30"/>
  <c r="R7" i="30" l="1"/>
  <c r="P7" i="30"/>
  <c r="O7" i="30" l="1"/>
  <c r="S7" i="30"/>
  <c r="U1"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G36" authorId="0" shapeId="0" xr:uid="{CE59F82E-6ADF-404D-ACC9-36902D32748A}">
      <text>
        <r>
          <rPr>
            <sz val="9"/>
            <color indexed="81"/>
            <rFont val="Tahoma"/>
            <family val="2"/>
          </rPr>
          <t>Se não for Chefe Projeto aplica-se o valor F1</t>
        </r>
      </text>
    </comment>
    <comment ref="G37" authorId="0" shapeId="0" xr:uid="{F34962B6-1A37-4733-AFD6-CE7B1014FAAA}">
      <text>
        <r>
          <rPr>
            <sz val="9"/>
            <color indexed="81"/>
            <rFont val="Tahoma"/>
            <family val="2"/>
          </rPr>
          <t>Se for Chefe Projeto aplica-se o valor F0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G7" authorId="0" shapeId="0" xr:uid="{41B22EA4-303F-4813-868B-4F5F3B85F993}">
      <text>
        <r>
          <rPr>
            <sz val="9"/>
            <color indexed="81"/>
            <rFont val="Tahoma"/>
            <family val="2"/>
          </rPr>
          <t>Na tabela com discriminação de
ligações indicar o tipo de ligação:
  (C)ontratado
  (D)ocente
  (B)olseiro</t>
        </r>
      </text>
    </comment>
    <comment ref="I7" authorId="0" shapeId="0" xr:uid="{D70235D9-134B-4180-BCB1-0DB028A1CB31}">
      <text>
        <r>
          <rPr>
            <sz val="9"/>
            <color indexed="81"/>
            <rFont val="Tahoma"/>
            <family val="2"/>
          </rPr>
          <t>A participação no projeto de colaboradores da Estrutura Central deve ser
assinalada neste campo. O Centro associado a esta participação ficará responsável
pela compensação do respetivo custo fixo, através de uma transferência interna.
Assinalar nesta coluna os casos aplicáveis, selecionando a estrutura correspondente.</t>
        </r>
      </text>
    </comment>
    <comment ref="K7" authorId="0" shapeId="0" xr:uid="{3305A3CF-4EBE-401F-82A2-7BD090987E69}">
      <text>
        <r>
          <rPr>
            <sz val="9"/>
            <color indexed="81"/>
            <rFont val="Tahoma"/>
            <family val="2"/>
          </rPr>
          <t>Cada linha (registo) desta folha pode referir-se
a um colaborador identificado ou a identificar, ou
a um grupo de colaboradores com os mesmos
atributos de ligação.</t>
        </r>
      </text>
    </comment>
    <comment ref="M7" authorId="0" shapeId="0" xr:uid="{55C3E058-1A18-41D6-BFDD-CAF76F4226EC}">
      <text>
        <r>
          <rPr>
            <sz val="9"/>
            <color indexed="81"/>
            <rFont val="Tahoma"/>
            <family val="2"/>
          </rPr>
          <t>Indica a origem do financiamento dos custos fixos:
      - OI Geral: vínculo INESCTEC sem OI Financiamento;
      - Outra OI: vínculo INESCTEC com OI Financiamento
      - EC:  vínculo INESCTEC e ligação à Estrutura Central
      - Outra Fonte: vínculo não INESCTEC</t>
        </r>
      </text>
    </comment>
    <comment ref="Q7" authorId="0" shapeId="0" xr:uid="{644FB130-B0D2-4CA9-ADE3-E761416445C5}">
      <text>
        <r>
          <rPr>
            <sz val="9"/>
            <color indexed="81"/>
            <rFont val="Tahoma"/>
            <family val="2"/>
          </rPr>
          <t>Consultar folha "Parametros_Orcam"</t>
        </r>
      </text>
    </comment>
    <comment ref="R7" authorId="0" shapeId="0" xr:uid="{A34FCB76-AC73-47D0-A42D-2FA3053EF5D8}">
      <text>
        <r>
          <rPr>
            <sz val="9"/>
            <color indexed="81"/>
            <rFont val="Tahoma"/>
            <family val="2"/>
          </rPr>
          <t>O CD|CB é orçamentado com base na totalidade do tempo
de afetação ao Projeto e no valor da percentagem desta
coluna, em que 100% conduz ao valor máximo a pagar.
O valor desta coluna permite ajustar o valor orçamentado
tendo em consideração a margem libertada.
Nos processos de CD|CB, o ajuste é efetuado através da
imputação ao projeto (menor ou igual ao real).</t>
        </r>
      </text>
    </comment>
    <comment ref="U7" authorId="0" shapeId="0" xr:uid="{39EB1FAB-B6B5-4873-BADE-19C86A61A481}">
      <text>
        <r>
          <rPr>
            <sz val="9"/>
            <color indexed="81"/>
            <rFont val="Tahoma"/>
            <family val="2"/>
          </rPr>
          <t>O período de afetação corresponde ao nº de meses
de ligação em que a afetação a projetos é máxima
(depende do tipo de ligação, ver folha "Parametros_Orcam",
coluna "Afetação Máxima Projetos")</t>
        </r>
      </text>
    </comment>
    <comment ref="O8" authorId="0" shapeId="0" xr:uid="{7573A12A-0FF8-4770-9237-F529038F9CD1}">
      <text>
        <r>
          <rPr>
            <sz val="9"/>
            <color indexed="81"/>
            <rFont val="Tahoma"/>
            <family val="2"/>
          </rPr>
          <t>Contratados: resultante do nível de remuneração do colaborador,
releva diretamente para a estimativa de cálculo de custos fixos.
Bolseiros: resultante do nível do tipo de bolsa.</t>
        </r>
      </text>
    </comment>
    <comment ref="P8" authorId="0" shapeId="0" xr:uid="{C54396CD-A97F-47A6-AE71-477AD0CBE7AC}">
      <text>
        <r>
          <rPr>
            <sz val="9"/>
            <color indexed="81"/>
            <rFont val="Tahoma"/>
            <family val="2"/>
          </rPr>
          <t>Resultante da função a desempenhar no Projeto,
definida na coluna à direita.
Releva para o cálculo de proveitos baseados em preços-padrão.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D37" authorId="0" shapeId="0" xr:uid="{38674299-16AC-4B62-8A62-5C4E662F34B5}">
      <text>
        <r>
          <rPr>
            <sz val="9"/>
            <color indexed="81"/>
            <rFont val="Tahoma"/>
            <family val="2"/>
          </rPr>
          <t>Custos de RH cedidos pela EC ao Projeto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H18" authorId="0" shapeId="0" xr:uid="{00000000-0006-0000-0B00-000001000000}">
      <text>
        <r>
          <rPr>
            <sz val="9"/>
            <color indexed="81"/>
            <rFont val="Tahoma"/>
            <family val="2"/>
          </rPr>
          <t>c/OH médio de IES = 25%
Ajustável ao OH da respetiva IES na folha "RH"</t>
        </r>
      </text>
    </comment>
    <comment ref="J58" authorId="0" shapeId="0" xr:uid="{521327E0-6EDC-4809-A87C-DB99487D1202}">
      <text>
        <r>
          <rPr>
            <sz val="9"/>
            <color indexed="81"/>
            <rFont val="Tahoma"/>
            <family val="2"/>
          </rPr>
          <t>Vaor médio da taxa tendo em conta o modelo aplicado em cada IES e a proporção SegSoc/CGA nos casos em que a taxa CGA aplicada é 0</t>
        </r>
      </text>
    </comment>
    <comment ref="C59" authorId="0" shapeId="0" xr:uid="{29781C77-D642-48B0-88E6-715D22C1093C}">
      <text>
        <r>
          <rPr>
            <sz val="9"/>
            <color indexed="81"/>
            <rFont val="Tahoma"/>
            <family val="2"/>
          </rPr>
          <t>Inclui espaços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Mário Jorge Leitão</author>
  </authors>
  <commentList>
    <comment ref="F3" authorId="0" shapeId="0" xr:uid="{FB8F3A30-3564-40E3-9EC2-58601C176F1D}">
      <text>
        <r>
          <rPr>
            <sz val="9"/>
            <color indexed="81"/>
            <rFont val="Tahoma"/>
            <family val="2"/>
          </rPr>
          <t xml:space="preserve">
c/OH médio de IES = 20%</t>
        </r>
      </text>
    </comment>
  </commentList>
</comments>
</file>

<file path=xl/sharedStrings.xml><?xml version="1.0" encoding="utf-8"?>
<sst xmlns="http://schemas.openxmlformats.org/spreadsheetml/2006/main" count="1245" uniqueCount="676">
  <si>
    <t>RESERVADO
Se esta folha estiver escondida, pode ser aberta através de Ctrl + Shift + R</t>
  </si>
  <si>
    <t>Proteger todas as folhas, esconder as folhas "Reservado" e "Teste_Modelo" e esconder linhas / colunas auxiliares</t>
  </si>
  <si>
    <t>Desproteger e mostrar todas as folhas</t>
  </si>
  <si>
    <t>Esconder folhas não relevantes e em cada folha esconder colunas / linhas auxiliares (a linha que contém as referências das colunas continua visível, com as letras invisíveis, a branco)</t>
  </si>
  <si>
    <t>Mostrar todas as folhas e em cada uma mostrar colunas / linhas auxiliares (a linha que contém as referências das colunas fica com as letras visíveis, a vermelho)</t>
  </si>
  <si>
    <t>Mostrar folha "Teste_Modelo"</t>
  </si>
  <si>
    <t>Verificar dados de preenchimento obrigatório em falta nas folhas "RH", "OCD" e "VAL" e erros de cálculos nas folhas de resultados (não deve acontecer)</t>
  </si>
  <si>
    <t>Limpar dados e repor valores de referência dos preços RH</t>
  </si>
  <si>
    <t>Repor valores de referência dos preços RH e margem "Outros Custos Diretos"</t>
  </si>
  <si>
    <t>Retomar a operação normal do Excel após interrupção em modo de suspensão</t>
  </si>
  <si>
    <t>Atualizações Anuais Folha "Parametros_Orcam"</t>
  </si>
  <si>
    <t>Atualização remunerações contratados e valores bolsas</t>
  </si>
  <si>
    <t>V</t>
  </si>
  <si>
    <t>Atualização preços de referência de serviços de I&amp;D e consultoria | executar macro "Repor Valores Referência"</t>
  </si>
  <si>
    <t>Atualização dos parâmetros de imputação de custos Estrutura Central (com espaços) e de Estrutura Local, de acordo com dados de fecho do ano anterior</t>
  </si>
  <si>
    <t>Atualizações Anuais Folha "Parametros_RH"</t>
  </si>
  <si>
    <t>Atualização parâmetros de custos fixos de RH</t>
  </si>
  <si>
    <t>Atualizações anuais Intranet</t>
  </si>
  <si>
    <t>Atualização cálculo Perfil Funcional</t>
  </si>
  <si>
    <t>INSTRUÇÕES DE PREENCHIMENTO E VALIDAÇÃO DE DADOS</t>
  </si>
  <si>
    <t>Introdução</t>
  </si>
  <si>
    <t xml:space="preserve">A orçamentação de todas as propostas ou contratos de prestação de Serviços de I&amp;D ou Consultoria deve ter por base o conjunto de folhas de cálculo deste ficheiro, que permite, numa primeira fase, configurar e orçamentar a proposta ao cliente, assegurando a sua razoabilidade financeira
No momento em que o âmbito do projeto esteja definido e se determine uma primeira estimativa do orçamento da proposta, deve ser criada uma nova Proposta de Prestação de Serviços no processo correspondente da Intranet.
No caso de a proposta ser adjudicada, e antes do início dos trabalhos, passar-se-á à fase de orçamentação interna, devendo ser atualizados os dados das folhas de cálculo, designadamente especificando o orçamento interno do primeiro ano de execução. A equipa de projeto também deverá ser detalhada para serem obtidos indicadores mais rigorosos de custos e margens. </t>
  </si>
  <si>
    <t>Sequência de preenchimento e geração de indicadores</t>
  </si>
  <si>
    <t>Orçamentação
da proposta
ao cliente</t>
  </si>
  <si>
    <r>
      <t>Na fase inicial de configuração da proposta ao cliente, devem ser preenchidas as seguintes folhas (abas sombreadas a amarelo):</t>
    </r>
    <r>
      <rPr>
        <b/>
        <sz val="10"/>
        <rFont val="Arial"/>
        <family val="2"/>
      </rPr>
      <t xml:space="preserve"> Dados_Gerais</t>
    </r>
    <r>
      <rPr>
        <sz val="10"/>
        <rFont val="Arial"/>
        <family val="2"/>
      </rPr>
      <t xml:space="preserve"> (Informação Geral da Proposta) | </t>
    </r>
    <r>
      <rPr>
        <b/>
        <sz val="10"/>
        <rFont val="Arial"/>
        <family val="2"/>
      </rPr>
      <t>RH</t>
    </r>
    <r>
      <rPr>
        <sz val="10"/>
        <rFont val="Arial"/>
        <family val="2"/>
      </rPr>
      <t xml:space="preserve"> (Recursos Humanos - Equipa do Projeto) | </t>
    </r>
    <r>
      <rPr>
        <b/>
        <sz val="10"/>
        <rFont val="Arial"/>
        <family val="2"/>
      </rPr>
      <t>OCD</t>
    </r>
    <r>
      <rPr>
        <sz val="10"/>
        <rFont val="Arial"/>
        <family val="2"/>
      </rPr>
      <t xml:space="preserve"> (Outros Custos Diretos) | </t>
    </r>
    <r>
      <rPr>
        <b/>
        <sz val="10"/>
        <rFont val="Arial"/>
        <family val="2"/>
      </rPr>
      <t>VAL</t>
    </r>
    <r>
      <rPr>
        <sz val="10"/>
        <rFont val="Arial"/>
        <family val="2"/>
      </rPr>
      <t xml:space="preserve"> (Valorização de Ativos Preeexistentes). A caracterização detalhada destas folhas encontra-se no bloco seguinte.
A folha </t>
    </r>
    <r>
      <rPr>
        <b/>
        <sz val="10"/>
        <rFont val="Arial"/>
        <family val="2"/>
      </rPr>
      <t>RH</t>
    </r>
    <r>
      <rPr>
        <sz val="10"/>
        <rFont val="Arial"/>
        <family val="2"/>
      </rPr>
      <t xml:space="preserve"> apresenta duas opções de preenchimento inicial da equipa de projeto, selecionáveis na própria folha:
      - Opção </t>
    </r>
    <r>
      <rPr>
        <b/>
        <sz val="10"/>
        <rFont val="Arial"/>
        <family val="2"/>
      </rPr>
      <t>Simplificado</t>
    </r>
    <r>
      <rPr>
        <sz val="10"/>
        <rFont val="Arial"/>
        <family val="2"/>
      </rPr>
      <t xml:space="preserve">: preenchimento expedito da Tabela A com os dados da equipa sem discriminação de ligações, sendo indicados obrigatoriamente apenas os centros envolvidos, funções no projeto e esforço correspondente, e opcionalmente o nome (específico) ou grupo RH (designação coletiva);
      - Opção </t>
    </r>
    <r>
      <rPr>
        <b/>
        <sz val="10"/>
        <rFont val="Arial"/>
        <family val="2"/>
      </rPr>
      <t>Detalhado</t>
    </r>
    <r>
      <rPr>
        <sz val="10"/>
        <rFont val="Arial"/>
        <family val="2"/>
      </rPr>
      <t xml:space="preserve">: preenchimento da Tabela B com os dados completos da equipa com discriminação de ligações e respetiva caracterização, para serem obtidos indicadores mais rigorosos de custos e margens.
</t>
    </r>
    <r>
      <rPr>
        <i/>
        <sz val="10"/>
        <rFont val="Arial"/>
        <family val="2"/>
      </rPr>
      <t xml:space="preserve">Nota: a opção adicional </t>
    </r>
    <r>
      <rPr>
        <b/>
        <i/>
        <sz val="10"/>
        <rFont val="Arial"/>
        <family val="2"/>
      </rPr>
      <t>Simplificado + Detalhado</t>
    </r>
    <r>
      <rPr>
        <i/>
        <sz val="10"/>
        <rFont val="Arial"/>
        <family val="2"/>
      </rPr>
      <t xml:space="preserve"> é usada apenas na fase seguinte de orçamentação interna, caso tenha sido selecionada a opção </t>
    </r>
    <r>
      <rPr>
        <b/>
        <i/>
        <sz val="10"/>
        <rFont val="Arial"/>
        <family val="2"/>
      </rPr>
      <t>Simplificado</t>
    </r>
    <r>
      <rPr>
        <i/>
        <sz val="10"/>
        <rFont val="Arial"/>
        <family val="2"/>
      </rPr>
      <t xml:space="preserve"> na fase inicial (ver secção seguinte).</t>
    </r>
    <r>
      <rPr>
        <sz val="10"/>
        <rFont val="Arial"/>
        <family val="2"/>
      </rPr>
      <t xml:space="preserve">
A folha </t>
    </r>
    <r>
      <rPr>
        <b/>
        <sz val="10"/>
        <rFont val="Arial"/>
        <family val="2"/>
      </rPr>
      <t>Indicadores_Proposta</t>
    </r>
    <r>
      <rPr>
        <sz val="10"/>
        <rFont val="Arial"/>
        <family val="2"/>
      </rPr>
      <t xml:space="preserve"> apresenta os dados globais relevantes para definir a proposta ao cliente, nas seguintes condições:
      - o preço da componente </t>
    </r>
    <r>
      <rPr>
        <b/>
        <sz val="10"/>
        <rFont val="Arial"/>
        <family val="2"/>
      </rPr>
      <t>Recursos Humanos</t>
    </r>
    <r>
      <rPr>
        <sz val="10"/>
        <rFont val="Arial"/>
        <family val="2"/>
      </rPr>
      <t xml:space="preserve"> (RH) é calculado a partir do esforço em cada função no projeto definidos na Tabela A ou B e dos respetivos preços unitários definidos na folha </t>
    </r>
    <r>
      <rPr>
        <b/>
        <sz val="10"/>
        <rFont val="Arial"/>
        <family val="2"/>
      </rPr>
      <t>Dados_Gerais</t>
    </r>
    <r>
      <rPr>
        <sz val="10"/>
        <rFont val="Arial"/>
        <family val="2"/>
      </rPr>
      <t xml:space="preserve">;
      - o preço da componente </t>
    </r>
    <r>
      <rPr>
        <b/>
        <sz val="10"/>
        <rFont val="Arial"/>
        <family val="2"/>
      </rPr>
      <t>Outros Custos Diretos</t>
    </r>
    <r>
      <rPr>
        <sz val="10"/>
        <rFont val="Arial"/>
        <family val="2"/>
      </rPr>
      <t xml:space="preserve"> (OCD) é calculado a partir dos custos internos de cada item de outros custos operacionais e de investimento;
      - o preço da componente </t>
    </r>
    <r>
      <rPr>
        <b/>
        <sz val="10"/>
        <rFont val="Arial"/>
        <family val="2"/>
      </rPr>
      <t>Valorização de Ativos Preexistentes</t>
    </r>
    <r>
      <rPr>
        <sz val="10"/>
        <rFont val="Arial"/>
        <family val="2"/>
      </rPr>
      <t xml:space="preserve"> (VAL) corresponde aos valores definidos relativos a resultados preexistentes e a utilização de recursos laboratoriais;
      - os itens das componentes </t>
    </r>
    <r>
      <rPr>
        <b/>
        <sz val="10"/>
        <rFont val="Arial"/>
        <family val="2"/>
      </rPr>
      <t>OCD</t>
    </r>
    <r>
      <rPr>
        <sz val="10"/>
        <rFont val="Arial"/>
        <family val="2"/>
      </rPr>
      <t xml:space="preserve"> e </t>
    </r>
    <r>
      <rPr>
        <b/>
        <sz val="10"/>
        <rFont val="Arial"/>
        <family val="2"/>
      </rPr>
      <t>VAL</t>
    </r>
    <r>
      <rPr>
        <sz val="10"/>
        <rFont val="Arial"/>
        <family val="2"/>
      </rPr>
      <t xml:space="preserve"> apenas são considerados no valor da proposta se nas respetivas folhas for selecionada a opção </t>
    </r>
    <r>
      <rPr>
        <b/>
        <sz val="10"/>
        <rFont val="Arial"/>
        <family val="2"/>
      </rPr>
      <t>Sim</t>
    </r>
    <r>
      <rPr>
        <sz val="10"/>
        <rFont val="Arial"/>
        <family val="2"/>
      </rPr>
      <t xml:space="preserve"> na coluna </t>
    </r>
    <r>
      <rPr>
        <b/>
        <sz val="10"/>
        <rFont val="Arial"/>
        <family val="2"/>
      </rPr>
      <t>Imputação Cliente</t>
    </r>
    <r>
      <rPr>
        <sz val="10"/>
        <rFont val="Arial"/>
        <family val="2"/>
      </rPr>
      <t xml:space="preserve">.
A soma das parcelas anteriores constitui o preço total sugerido que servirá de base à definição do preço total final, devendo ser apresentada uma justificação no caso de diferenças entre os dois valores que não resultem de simples arredondamentos.
No caso de projetos em parceria interna, a distribuição do esforço por cada centro tem de estar explicitada na folha </t>
    </r>
    <r>
      <rPr>
        <b/>
        <sz val="10"/>
        <rFont val="Arial"/>
        <family val="2"/>
      </rPr>
      <t>RH</t>
    </r>
    <r>
      <rPr>
        <sz val="10"/>
        <rFont val="Arial"/>
        <family val="2"/>
      </rPr>
      <t xml:space="preserve">, sendo a distribuição de proveitos por centro indicada na folha </t>
    </r>
    <r>
      <rPr>
        <b/>
        <sz val="10"/>
        <rFont val="Arial"/>
        <family val="2"/>
      </rPr>
      <t>Indicadores_Proposta</t>
    </r>
    <r>
      <rPr>
        <sz val="10"/>
        <rFont val="Arial"/>
        <family val="2"/>
      </rPr>
      <t>.
Cada folha de preenchimento apresenta no canto superior direito um semáforo geral de preenchimento completo e correto numa coluna de controlo de dados em falta, devendo ocorrer um "V" sombreado a verde, sendo as faltas de dados sinalizadas com um "F" sombreado a amarelo no semáforo geral e em cada linha dessa coluna em que a falta ocorra.
As folhas de indicadores (resultados) contêm igualmente um semáforo geral de validação no canto superior direito, devendo aparecer um "V" sombreado a verde, sendo efetuados diversos cruzamentos de dados que, no caso de algum imprevisto, resultariam numa indicação de "Erro" nesse semáforo geral e em cada linha em que o erro seja detetado.
No canto superior direito está igualmente disponível um botão "Verificar" que permite executar um procedimento de verificação de todas as folhas de preenchimento e de indicadores.</t>
    </r>
  </si>
  <si>
    <t>Orçamentação
interna</t>
  </si>
  <si>
    <r>
      <t xml:space="preserve">A orçamentação interna é opcional na fase prévia da respetiva orçamentação para o cliente, mas é obrigatória logo que a proposta seja adjudicada, devendo ser preenchidas ou atualizadas as folhas a seguir indicadas.
</t>
    </r>
    <r>
      <rPr>
        <b/>
        <sz val="10"/>
        <rFont val="Arial"/>
        <family val="2"/>
      </rPr>
      <t>Folha RH</t>
    </r>
    <r>
      <rPr>
        <sz val="10"/>
        <rFont val="Arial"/>
        <family val="2"/>
      </rPr>
      <t xml:space="preserve">
No caso de ter sido selecionada a opção </t>
    </r>
    <r>
      <rPr>
        <b/>
        <sz val="10"/>
        <rFont val="Arial"/>
        <family val="2"/>
      </rPr>
      <t>Simplificado</t>
    </r>
    <r>
      <rPr>
        <sz val="10"/>
        <rFont val="Arial"/>
        <family val="2"/>
      </rPr>
      <t xml:space="preserve"> e ter sido preenchida a </t>
    </r>
    <r>
      <rPr>
        <b/>
        <sz val="10"/>
        <rFont val="Arial"/>
        <family val="2"/>
      </rPr>
      <t>Tabela A</t>
    </r>
    <r>
      <rPr>
        <sz val="10"/>
        <rFont val="Arial"/>
        <family val="2"/>
      </rPr>
      <t xml:space="preserve">, na folha </t>
    </r>
    <r>
      <rPr>
        <b/>
        <sz val="10"/>
        <rFont val="Arial"/>
        <family val="2"/>
      </rPr>
      <t>RH</t>
    </r>
    <r>
      <rPr>
        <sz val="10"/>
        <rFont val="Arial"/>
        <family val="2"/>
      </rPr>
      <t xml:space="preserve">, deve ser selecionada a opção </t>
    </r>
    <r>
      <rPr>
        <b/>
        <sz val="10"/>
        <rFont val="Arial"/>
        <family val="2"/>
      </rPr>
      <t>Simplificado + Detalhado</t>
    </r>
    <r>
      <rPr>
        <sz val="10"/>
        <rFont val="Arial"/>
        <family val="2"/>
      </rPr>
      <t xml:space="preserve"> que requer o preenchimento da </t>
    </r>
    <r>
      <rPr>
        <b/>
        <sz val="10"/>
        <rFont val="Arial"/>
        <family val="2"/>
      </rPr>
      <t>Tabela B</t>
    </r>
    <r>
      <rPr>
        <sz val="10"/>
        <rFont val="Arial"/>
        <family val="2"/>
      </rPr>
      <t xml:space="preserve">, cujos dados passam a ser usados no cálculo dos valores relativos a RH das folhas </t>
    </r>
    <r>
      <rPr>
        <b/>
        <sz val="10"/>
        <rFont val="Arial"/>
        <family val="2"/>
      </rPr>
      <t>Indicadores_Proposta</t>
    </r>
    <r>
      <rPr>
        <sz val="10"/>
        <rFont val="Arial"/>
        <family val="2"/>
      </rPr>
      <t xml:space="preserve"> e </t>
    </r>
    <r>
      <rPr>
        <b/>
        <sz val="10"/>
        <rFont val="Arial"/>
        <family val="2"/>
      </rPr>
      <t>Indicadores_Internos</t>
    </r>
    <r>
      <rPr>
        <sz val="10"/>
        <rFont val="Arial"/>
        <family val="2"/>
      </rPr>
      <t xml:space="preserve">. Nesta opção, as </t>
    </r>
    <r>
      <rPr>
        <b/>
        <sz val="10"/>
        <rFont val="Arial"/>
        <family val="2"/>
      </rPr>
      <t xml:space="preserve">Tabelas A </t>
    </r>
    <r>
      <rPr>
        <sz val="10"/>
        <rFont val="Arial"/>
        <family val="2"/>
      </rPr>
      <t>e</t>
    </r>
    <r>
      <rPr>
        <b/>
        <sz val="10"/>
        <rFont val="Arial"/>
        <family val="2"/>
      </rPr>
      <t xml:space="preserve"> B</t>
    </r>
    <r>
      <rPr>
        <sz val="10"/>
        <rFont val="Arial"/>
        <family val="2"/>
      </rPr>
      <t xml:space="preserve"> ficam simultaneamente visíveis, devendo os dados agregados da </t>
    </r>
    <r>
      <rPr>
        <b/>
        <sz val="10"/>
        <rFont val="Arial"/>
        <family val="2"/>
      </rPr>
      <t>Tabela B</t>
    </r>
    <r>
      <rPr>
        <sz val="10"/>
        <rFont val="Arial"/>
        <family val="2"/>
      </rPr>
      <t xml:space="preserve"> ser coincidentes com os que foram inscritos na </t>
    </r>
    <r>
      <rPr>
        <b/>
        <sz val="10"/>
        <rFont val="Arial"/>
        <family val="2"/>
      </rPr>
      <t>Tabela A</t>
    </r>
    <r>
      <rPr>
        <sz val="10"/>
        <rFont val="Arial"/>
        <family val="2"/>
      </rPr>
      <t xml:space="preserve">.
No caso contrários  de ter sido selecionada a opção </t>
    </r>
    <r>
      <rPr>
        <b/>
        <sz val="10"/>
        <rFont val="Arial"/>
        <family val="2"/>
      </rPr>
      <t>Detalhado</t>
    </r>
    <r>
      <rPr>
        <sz val="10"/>
        <rFont val="Arial"/>
        <family val="2"/>
      </rPr>
      <t xml:space="preserve"> e preenchida a </t>
    </r>
    <r>
      <rPr>
        <b/>
        <sz val="10"/>
        <rFont val="Arial"/>
        <family val="2"/>
      </rPr>
      <t>Tabela B</t>
    </r>
    <r>
      <rPr>
        <sz val="10"/>
        <rFont val="Arial"/>
        <family val="2"/>
      </rPr>
      <t xml:space="preserve"> na fase inicial de orçamentação da proposta ao cliente, apenas será necessário efetuar uma eventual atualização de dados desta tabela.
Para ajudar ao preenchimento da </t>
    </r>
    <r>
      <rPr>
        <b/>
        <sz val="10"/>
        <rFont val="Arial"/>
        <family val="2"/>
      </rPr>
      <t>Tabela B</t>
    </r>
    <r>
      <rPr>
        <sz val="10"/>
        <rFont val="Arial"/>
        <family val="2"/>
      </rPr>
      <t xml:space="preserve"> na opção </t>
    </r>
    <r>
      <rPr>
        <b/>
        <sz val="10"/>
        <rFont val="Arial"/>
        <family val="2"/>
      </rPr>
      <t>Simplificado + Detalhado</t>
    </r>
    <r>
      <rPr>
        <sz val="10"/>
        <rFont val="Arial"/>
        <family val="2"/>
      </rPr>
      <t xml:space="preserve">, foram criados semáforos numa coluna adicional à direita (coluna de controlo de dados incoerentes) que comparam os dados de esforço em todas as combinações de dados dos centros e funções no projeto registados na </t>
    </r>
    <r>
      <rPr>
        <b/>
        <sz val="10"/>
        <rFont val="Arial"/>
        <family val="2"/>
      </rPr>
      <t>Tabela A</t>
    </r>
    <r>
      <rPr>
        <sz val="10"/>
        <rFont val="Arial"/>
        <family val="2"/>
      </rPr>
      <t xml:space="preserve"> com os correspondentes agregados que vão sendo registados na </t>
    </r>
    <r>
      <rPr>
        <b/>
        <sz val="10"/>
        <rFont val="Arial"/>
        <family val="2"/>
      </rPr>
      <t>Tabela B</t>
    </r>
    <r>
      <rPr>
        <sz val="10"/>
        <rFont val="Arial"/>
        <family val="2"/>
      </rPr>
      <t xml:space="preserve">. Nos registos em que ocorre coincidência de esforço entre as </t>
    </r>
    <r>
      <rPr>
        <b/>
        <sz val="10"/>
        <rFont val="Arial"/>
        <family val="2"/>
      </rPr>
      <t>Tabelas A</t>
    </r>
    <r>
      <rPr>
        <sz val="10"/>
        <rFont val="Arial"/>
        <family val="2"/>
      </rPr>
      <t xml:space="preserve"> e </t>
    </r>
    <r>
      <rPr>
        <b/>
        <sz val="10"/>
        <rFont val="Arial"/>
        <family val="2"/>
      </rPr>
      <t>B</t>
    </r>
    <r>
      <rPr>
        <sz val="10"/>
        <rFont val="Arial"/>
        <family val="2"/>
      </rPr>
      <t xml:space="preserve">, é indicado um "V" sombreado a verde; nos registos das </t>
    </r>
    <r>
      <rPr>
        <b/>
        <sz val="10"/>
        <rFont val="Arial"/>
        <family val="2"/>
      </rPr>
      <t>Tabelas A</t>
    </r>
    <r>
      <rPr>
        <sz val="10"/>
        <rFont val="Arial"/>
        <family val="2"/>
      </rPr>
      <t xml:space="preserve"> e </t>
    </r>
    <r>
      <rPr>
        <b/>
        <sz val="10"/>
        <rFont val="Arial"/>
        <family val="2"/>
      </rPr>
      <t>B</t>
    </r>
    <r>
      <rPr>
        <sz val="10"/>
        <rFont val="Arial"/>
        <family val="2"/>
      </rPr>
      <t xml:space="preserve"> em que é identificada incoerência de dados de esforço, ocorre um "I" sombreado a laranja nesses semáforos Naturalmente que, ao iniciar-se o preenchimento da </t>
    </r>
    <r>
      <rPr>
        <b/>
        <sz val="10"/>
        <rFont val="Arial"/>
        <family val="2"/>
      </rPr>
      <t>Tabela B</t>
    </r>
    <r>
      <rPr>
        <sz val="10"/>
        <rFont val="Arial"/>
        <family val="2"/>
      </rPr>
      <t xml:space="preserve">, todas as linhas com dados da </t>
    </r>
    <r>
      <rPr>
        <b/>
        <sz val="10"/>
        <rFont val="Arial"/>
        <family val="2"/>
      </rPr>
      <t>Tabela A</t>
    </r>
    <r>
      <rPr>
        <sz val="10"/>
        <rFont val="Arial"/>
        <family val="2"/>
      </rPr>
      <t xml:space="preserve"> são sinalizadas com "I".
Quando o preenchimento da </t>
    </r>
    <r>
      <rPr>
        <b/>
        <sz val="10"/>
        <rFont val="Arial"/>
        <family val="2"/>
      </rPr>
      <t>Tabela B</t>
    </r>
    <r>
      <rPr>
        <sz val="10"/>
        <rFont val="Arial"/>
        <family val="2"/>
      </rPr>
      <t xml:space="preserve"> estiver finalizado com todos os dados coerentes com os previamente registados na </t>
    </r>
    <r>
      <rPr>
        <b/>
        <sz val="10"/>
        <rFont val="Arial"/>
        <family val="2"/>
      </rPr>
      <t>Tabela A</t>
    </r>
    <r>
      <rPr>
        <sz val="10"/>
        <rFont val="Arial"/>
        <family val="2"/>
      </rPr>
      <t xml:space="preserve">, o semáforo geral no canto superior direito da coluna de controlo de dados incoerentes indicará um "V", bom como os semáforos de todas as linhas de dados das </t>
    </r>
    <r>
      <rPr>
        <b/>
        <sz val="10"/>
        <rFont val="Arial"/>
        <family val="2"/>
      </rPr>
      <t>Tabelas A</t>
    </r>
    <r>
      <rPr>
        <sz val="10"/>
        <rFont val="Arial"/>
        <family val="2"/>
      </rPr>
      <t xml:space="preserve"> e </t>
    </r>
    <r>
      <rPr>
        <b/>
        <sz val="10"/>
        <rFont val="Arial"/>
        <family val="2"/>
      </rPr>
      <t>B</t>
    </r>
    <r>
      <rPr>
        <sz val="10"/>
        <rFont val="Arial"/>
        <family val="2"/>
      </rPr>
      <t xml:space="preserve">.
</t>
    </r>
    <r>
      <rPr>
        <b/>
        <sz val="10"/>
        <rFont val="Arial"/>
        <family val="2"/>
      </rPr>
      <t>Folha Orcamento_INESCTEC</t>
    </r>
    <r>
      <rPr>
        <sz val="10"/>
        <rFont val="Arial"/>
        <family val="2"/>
      </rPr>
      <t xml:space="preserve">
Esta folha deve ser preenchida com os valores trimestrais das rubricas de investimento, recursos humanos, outros custos operacionais e proveitos de cada centro aplicáveis ao 1º ano civil de execução do projeto.
É assinalado um erro se qualquer valor do 1º ano de cada rubrica e centro exceder o correspondente valor total do projeto da mesma rubrica e centro.
</t>
    </r>
    <r>
      <rPr>
        <i/>
        <sz val="10"/>
        <rFont val="Arial"/>
        <family val="2"/>
      </rPr>
      <t xml:space="preserve">      Nota: o orçamento de RH (Pessoal e Bolsas INESC TEC) que será lançado no SAP corresponde apenas aos itens assinalados como OI Geral na coluna Origem Custos Fixo da Tabela B da folha RH.</t>
    </r>
  </si>
  <si>
    <t>Caracterização das folhas deste ficheiro</t>
  </si>
  <si>
    <t>Dados_Gerais</t>
  </si>
  <si>
    <r>
      <t xml:space="preserve">Contém a informação básica não financeira do projeto e preços de referência utilizados na orçamentação.
</t>
    </r>
    <r>
      <rPr>
        <b/>
        <sz val="10"/>
        <rFont val="Arial"/>
        <family val="2"/>
      </rPr>
      <t>Dados de Identificação da Proposta</t>
    </r>
    <r>
      <rPr>
        <sz val="10"/>
        <rFont val="Arial"/>
        <family val="2"/>
      </rPr>
      <t xml:space="preserve">
Preenchido com dados que deverão corresponder aos registados nos processos internos CRM | Propostas de Projeto.
</t>
    </r>
    <r>
      <rPr>
        <b/>
        <sz val="10"/>
        <rFont val="Arial"/>
        <family val="2"/>
      </rPr>
      <t xml:space="preserve">Dados Gerais de Execução da Proposta
</t>
    </r>
    <r>
      <rPr>
        <sz val="10"/>
        <rFont val="Arial"/>
        <family val="2"/>
      </rPr>
      <t xml:space="preserve">Preenchido pelo(s) Centro(s) participante(s) e, numa fase posterior, pelo CG, quando a proposta for aprovada pelo cliente, que deverá inserir o(s) id OI do(s) centro(s) de custo correspondente(s) ao(s) Centro(s) participante(s) e validará os detalhes financeiros do projeto, assinalando a execução desta operação numa caixa de verificação criada nesta folha.
</t>
    </r>
    <r>
      <rPr>
        <b/>
        <sz val="10"/>
        <rFont val="Arial"/>
        <family val="2"/>
      </rPr>
      <t>Dados Gerais de Orçamentação</t>
    </r>
    <r>
      <rPr>
        <sz val="10"/>
        <rFont val="Arial"/>
        <family val="2"/>
      </rPr>
      <t xml:space="preserve">
Mostra os intervalos de preços recomendados por Perfil Funcional no Projeto e define nas células sombreadas a azul os valores a aplicar na proposta.
Ao iniciar o preenchimento desta folha, os valores a aplicar são pré-definidos no ponto intermédio de cada intervalo, podendo ser alteradas conforme for conveniente, respeitando orientações internas definidas pela coordenação do centro ou pela Comissão Executiva.</t>
    </r>
  </si>
  <si>
    <t>RH</t>
  </si>
  <si>
    <r>
      <t xml:space="preserve">Nesta folha é inserida a informação do esforço da equipa de projeto, em duas opções de preenchimento:
      - </t>
    </r>
    <r>
      <rPr>
        <b/>
        <sz val="10"/>
        <rFont val="Arial"/>
        <family val="2"/>
      </rPr>
      <t>Simplificado - Tabela A</t>
    </r>
    <r>
      <rPr>
        <sz val="10"/>
        <rFont val="Arial"/>
        <family val="2"/>
      </rPr>
      <t xml:space="preserve">: dados desagregados por centro e pelas funções no projeto, permitindo calcular o preço global da componente de RH do projeto, bem como uma estimativa dos respetivos custos, presumindo ligações de contratados com um Perfil Funcional Nominal igual ao Perfil Funcional no Projeto e afetação à OI Geral do centro.
      - </t>
    </r>
    <r>
      <rPr>
        <b/>
        <sz val="10"/>
        <rFont val="Arial"/>
        <family val="2"/>
      </rPr>
      <t>Detalhado - Tabela B</t>
    </r>
    <r>
      <rPr>
        <sz val="10"/>
        <rFont val="Arial"/>
        <family val="2"/>
      </rPr>
      <t xml:space="preserve">: dados detalhados da equipa de projeto, com discriminação de ligações e respetiva caracterização, permitindo uma estimativa mais rigorosa dos custos de RH do projeto.
Cada linha (registo) desta folha pode referir-se a um colaborador identificado ou a identificar, ou a um conjunto de colaboradores com os mesmos atributos de ligação.
São calculados os custos fixos de colaboradores com diversos tipos de enquadramento de financiamento e os custos variáveis de complementos de docentes e complementos de bolsa (nota: de acordo com o regime atual de enquadramento de bolseiros, a participação em projetos de prestação de serviços requer o pagamento de uma compensação financeira).
Prevê-se ainda a possibilidade de envolver colaboradores da Estrutura Central, cujo custo fixo é suportado pelo projeto através de transferências internas.
Está ainda prevista a opção de preenchimento </t>
    </r>
    <r>
      <rPr>
        <b/>
        <sz val="10"/>
        <rFont val="Arial"/>
        <family val="2"/>
      </rPr>
      <t>Simplificado + Detalhado - Tabela A + B</t>
    </r>
    <r>
      <rPr>
        <sz val="10"/>
        <rFont val="Arial"/>
        <family val="2"/>
      </rPr>
      <t xml:space="preserve"> que contempla o caso de, na fase inicial de orçamentação da proposta ao cliente ter sido selecionada a opção </t>
    </r>
    <r>
      <rPr>
        <b/>
        <sz val="10"/>
        <rFont val="Arial"/>
        <family val="2"/>
      </rPr>
      <t>Simplificado - Tabela A</t>
    </r>
    <r>
      <rPr>
        <sz val="10"/>
        <rFont val="Arial"/>
        <family val="2"/>
      </rPr>
      <t xml:space="preserve"> e, subsequentemente, tendo a proposta sido adjudicada, ser necessário o preenchimento detalhado da equipa do projeto. Nesta opção as duas tabelas ficam visíveis, sendo criados semáforos de comparação entre os dados das duas tabelas, conforme indicado na secção anterior, que facilitam o requisito final de coerência do esforço explicitado em cada tabela.
No caso de projetos em parceria interna, em qualquer opção de preenchimento, a desagregação adicional do esforço por centro permite efetuar a distribuição de proveitos por centro de forma proporcional ao respetivo contributo para o preço final de RH.
      </t>
    </r>
    <r>
      <rPr>
        <i/>
        <sz val="10"/>
        <rFont val="Arial"/>
        <family val="2"/>
      </rPr>
      <t>Nota: neste cálculo, são deduzidos 5% para angariação/negociação projeto, indicando-se mais abaixo como é atribuída esta parcela.</t>
    </r>
  </si>
  <si>
    <r>
      <t xml:space="preserve">Ver especificação dos campos respetivos na folha </t>
    </r>
    <r>
      <rPr>
        <b/>
        <i/>
        <sz val="11"/>
        <color rgb="FFFF0000"/>
        <rFont val="Arial"/>
        <family val="2"/>
      </rPr>
      <t>Definicoes</t>
    </r>
  </si>
  <si>
    <t>OCD</t>
  </si>
  <si>
    <t>Identifica as despesas não RH do projeto, incluindo o investimento que se considera ser adquirido no início do projeto, sendo amortizado totalmente no período do projeto.
As despesas são classificadas por rubrica orçamental para serem enquadradas devidamente no orçamento do projeto.
Além disso, a totalidade do investimento gera amortizações distribuídas uniformemente pelo período do projeto.</t>
  </si>
  <si>
    <t>VAL</t>
  </si>
  <si>
    <t>Identifica ativos preexistentes que são utilizados no projeto e que acrescentam valor à proposta, devendo ter como consequência um acréscimo razoável do preço a suportar pelo cliente.
Inclui incorporação de resultados preexistentes e utilização de infraestruturas laboratoriais.</t>
  </si>
  <si>
    <t>Indicadores_Proposta</t>
  </si>
  <si>
    <r>
      <rPr>
        <b/>
        <sz val="10"/>
        <rFont val="Arial"/>
        <family val="2"/>
      </rPr>
      <t>Indicadores para Proposta Cliente</t>
    </r>
    <r>
      <rPr>
        <sz val="10"/>
        <rFont val="Arial"/>
        <family val="2"/>
      </rPr>
      <t xml:space="preserve">
Este bloco apresenta os dados relevantes para a configuração da proposta de preço ao cliente, contendo o esforço e preço detalhado por funções no projeto e perfil funcional, e os valores de outros custos diretos e de valorização de ativos que são definidos nas respetivas folhas como imputados ao cliente.
</t>
    </r>
    <r>
      <rPr>
        <b/>
        <sz val="10"/>
        <rFont val="Arial"/>
        <family val="2"/>
      </rPr>
      <t>Distribuição de Proveitos</t>
    </r>
    <r>
      <rPr>
        <sz val="10"/>
        <rFont val="Arial"/>
        <family val="2"/>
      </rPr>
      <t xml:space="preserve">
Este bloco é exibido no caso de projetos em parceria interna e mostra a distribuição de proveitos do projeto entre centros, nas seguintes condições:
      - as componentes de outras despesas de exploração, investimento e valorização de ativos são distribuídas pelos centros que suportam as respetivas despesas (inclui um OH interno médio de 20% que incide sobres as despesas de exploração excluindo subcontratos);
      - 95% do restante do preço total consideram-se proveitos da componente de RH, sendo distribuídos proporcionalmente à contribuição dessa componente de cada centro para o preço total;
      - 5% do restante do preço total é atribuído a título de OH Angariação | Negociação Projeto, estando esta parcela pré-atribuída ao centro proponente, com a possibilidade de ser acordada uma atribuição diferente por configuração dos campos da tabela deste bloco que poderão conter uma nova distribuição da percentagem de 5%.</t>
    </r>
  </si>
  <si>
    <t>Indicadores_Internos</t>
  </si>
  <si>
    <r>
      <t xml:space="preserve">Esta folha resume os dados e indicadores de custos, proveitos e margens globais do Projeto (totais e por centro no caso de projetos em parceria interna), permitindo avaliar a razoabilidade do respetivo preço sob diferentes perspetivas.
</t>
    </r>
    <r>
      <rPr>
        <b/>
        <sz val="10"/>
        <rFont val="Arial"/>
        <family val="2"/>
      </rPr>
      <t>Esforço da equipa do projeto</t>
    </r>
    <r>
      <rPr>
        <sz val="10"/>
        <rFont val="Arial"/>
        <family val="2"/>
      </rPr>
      <t xml:space="preserve">
Apresenta os dados de esforço da equipa do projeto, desagregado por Funções no Projeto | Perfil Funcional e Centro.
</t>
    </r>
    <r>
      <rPr>
        <b/>
        <sz val="10"/>
        <rFont val="Arial"/>
        <family val="2"/>
      </rPr>
      <t>Custos, proveitos e margens do projeto</t>
    </r>
    <r>
      <rPr>
        <sz val="10"/>
        <rFont val="Arial"/>
        <family val="2"/>
      </rPr>
      <t xml:space="preserve">
      - Custos Diretos Projeto: Recursos Humanos → Custos fixos e custos variáveis do projeto obtidos diretamente da folha </t>
    </r>
    <r>
      <rPr>
        <b/>
        <sz val="10"/>
        <rFont val="Arial"/>
        <family val="2"/>
      </rPr>
      <t>Equipa_Projeto</t>
    </r>
    <r>
      <rPr>
        <sz val="10"/>
        <rFont val="Arial"/>
        <family val="2"/>
      </rPr>
      <t xml:space="preserve">
      - Custos Diretos Projeto: Outros Custos Operacionais → Custos do projeto obtidos diretamente da folha </t>
    </r>
    <r>
      <rPr>
        <b/>
        <sz val="10"/>
        <rFont val="Arial"/>
        <family val="2"/>
      </rPr>
      <t>OCD</t>
    </r>
    <r>
      <rPr>
        <sz val="10"/>
        <rFont val="Arial"/>
        <family val="2"/>
      </rPr>
      <t xml:space="preserve">
      - Custos Diretos Projeto: Investimento → Custos do projeto obtidos diretamente da folha </t>
    </r>
    <r>
      <rPr>
        <b/>
        <sz val="10"/>
        <rFont val="Arial"/>
        <family val="2"/>
      </rPr>
      <t>INV</t>
    </r>
    <r>
      <rPr>
        <sz val="10"/>
        <rFont val="Arial"/>
        <family val="2"/>
      </rPr>
      <t xml:space="preserve"> - correspondem às amortizações no período do projeto
      - Custos Diretos Outras Fontes: Recursos Humanos → Custos fixos financiados por outras fontes obtidos diretamente da folha </t>
    </r>
    <r>
      <rPr>
        <b/>
        <sz val="10"/>
        <rFont val="Arial"/>
        <family val="2"/>
      </rPr>
      <t>Equipa_Projeto</t>
    </r>
    <r>
      <rPr>
        <sz val="10"/>
        <rFont val="Arial"/>
        <family val="2"/>
      </rPr>
      <t xml:space="preserve">
      - Custos Indiretos: Estrutura Central → Aplicação da taxa de Custos Estrutura Central aos custos diretos, exceto subcontratos e investimento (amortizações)
      - Custos Indiretos: Estrutura Central → Aplicação da taxa de Custos Estrutura Local ao esforço no projeto
      - Valorização de Ativos → Total de valor atribuídos aos resultados pré-existentes e utilização de infraestruturas laboratoriais obtidos diretamente da folha </t>
    </r>
    <r>
      <rPr>
        <b/>
        <sz val="10"/>
        <rFont val="Arial"/>
        <family val="2"/>
      </rPr>
      <t>VAL</t>
    </r>
    <r>
      <rPr>
        <sz val="10"/>
        <rFont val="Arial"/>
        <family val="2"/>
      </rPr>
      <t xml:space="preserve">
      - Custos totais, proveitos totais, margens totais e margens relativas do projeto
</t>
    </r>
    <r>
      <rPr>
        <b/>
        <sz val="10"/>
        <rFont val="Arial"/>
        <family val="2"/>
      </rPr>
      <t>Indicadores de custos e margens por prioridade de cobertura</t>
    </r>
    <r>
      <rPr>
        <sz val="10"/>
        <rFont val="Arial"/>
        <family val="2"/>
      </rPr>
      <t xml:space="preserve">
São calculados os indicadores de custos e margens (totais e por centro no caso de projetos em parceria interna), permitindo aferir os níveis de cobertura de custos, que seguem a seguinte ordem de prioridade:
      - Custos Diretos do Projeto
      - Custos Diretos Totais → acrescem Custos Outras Fontes
      - Custos Diretos e Indiretos → acrescem Custos da Estrutura Central e da Estrutura Local
      - Custos Totais → acresce Valorização de Ativos</t>
    </r>
  </si>
  <si>
    <t>Orcamento_INESCTEC</t>
  </si>
  <si>
    <r>
      <t xml:space="preserve">Nesta folha são apresentados os valores de custos relevantes para o orçamento interno do projeto, desgregados por rubricas internas e ainda centros, no caso de projetos em parceria interna.
Os valores aplicáveis ao 1º ano deverão ser carregados na tabela da direita, nos trimestres respetivos (apenas estão visíveis os trimestres em que o projeto está ativo).
     </t>
    </r>
    <r>
      <rPr>
        <i/>
        <sz val="10"/>
        <rFont val="Arial"/>
        <family val="2"/>
      </rPr>
      <t xml:space="preserve">Nota: a folha só fica visível se for assinalada a opção "Detalhado" ou "Simplificado + Detalhado" na folha </t>
    </r>
    <r>
      <rPr>
        <b/>
        <i/>
        <sz val="10"/>
        <rFont val="Arial"/>
        <family val="2"/>
      </rPr>
      <t>RH</t>
    </r>
    <r>
      <rPr>
        <i/>
        <sz val="10"/>
        <rFont val="Arial"/>
        <family val="2"/>
      </rPr>
      <t xml:space="preserve">, sendo os dados de RH extraídos da </t>
    </r>
    <r>
      <rPr>
        <b/>
        <i/>
        <sz val="10"/>
        <rFont val="Arial"/>
        <family val="2"/>
      </rPr>
      <t>Tabela B</t>
    </r>
    <r>
      <rPr>
        <i/>
        <sz val="10"/>
        <rFont val="Arial"/>
        <family val="2"/>
      </rPr>
      <t>.</t>
    </r>
  </si>
  <si>
    <t>SAP</t>
  </si>
  <si>
    <r>
      <t xml:space="preserve">Esta folha permite gerar os dados necessários para carregamento no SAP do orçamento do 1º ano do projeto (exclusivo do serviço de CG).
     </t>
    </r>
    <r>
      <rPr>
        <i/>
        <sz val="10"/>
        <rFont val="Arial"/>
        <family val="2"/>
      </rPr>
      <t xml:space="preserve">Nota: a folha só fica visível se for assinalada a validação do serviço de CG na caixa de verificação criada na folha </t>
    </r>
    <r>
      <rPr>
        <b/>
        <i/>
        <sz val="10"/>
        <rFont val="Arial"/>
        <family val="2"/>
      </rPr>
      <t>Dados_Gerais</t>
    </r>
  </si>
  <si>
    <t>Parametros_Orcam</t>
  </si>
  <si>
    <r>
      <t xml:space="preserve">Indica os dados gerais que relevam para a definição de opções em diversas caixas de seleção e para o cálculo de custos de RH e de estrutura.
No bloco </t>
    </r>
    <r>
      <rPr>
        <b/>
        <sz val="10"/>
        <rFont val="Arial"/>
        <family val="2"/>
      </rPr>
      <t>Custos de Recursos Humanos</t>
    </r>
    <r>
      <rPr>
        <sz val="10"/>
        <rFont val="Arial"/>
        <family val="2"/>
      </rPr>
      <t xml:space="preserve"> é possível definir valores específicos de remunerações de contratados que permitem definir perfis funcionais específicos (esta funcionalidade poderá ser utilizada nos casos em que a remuneração real e a remuneração definida no perfil funcional aplicável sejam demasiado diferentes e conduzam a erros excessivos de cálculo de custos).</t>
    </r>
  </si>
  <si>
    <t>Parametros_RH</t>
  </si>
  <si>
    <t>Indica os parâmetros de cálculo de custos fixos de contratados, docentes e bolseiros.</t>
  </si>
  <si>
    <t>DEFINIÇÕES DE CAMPOS ESPECÍFICOS DAS FOLHAS DE PREENCHIMENTO DE DADOS DO PROJETO</t>
  </si>
  <si>
    <t>Folha RH - Equipa do Projeto - campos de preenchimento na opção Simplificado</t>
  </si>
  <si>
    <t>Centro</t>
  </si>
  <si>
    <t>Designação do Centro a que correspondem os dados da linha (registo).</t>
  </si>
  <si>
    <t>Nome ou Grupo RH</t>
  </si>
  <si>
    <r>
      <t xml:space="preserve">Cada linha (registo) da folha </t>
    </r>
    <r>
      <rPr>
        <b/>
        <sz val="10"/>
        <rFont val="Arial"/>
        <family val="2"/>
      </rPr>
      <t>RH</t>
    </r>
    <r>
      <rPr>
        <sz val="10"/>
        <rFont val="Arial"/>
        <family val="2"/>
      </rPr>
      <t xml:space="preserve"> pode referir-se a um colaborador identificado ou a identificar, ou a um conjunto de colaboradores com os mesmos atributos de ligação.
As repetições de nome são destacadas com um sombreado diferente, mas tal não constitui um lapso porque é possível o mesmo RH ter duas ou mais funções no projeto.</t>
    </r>
  </si>
  <si>
    <t>Funções no Projeto
Perfil Funcional no Projeto</t>
  </si>
  <si>
    <r>
      <t xml:space="preserve">O </t>
    </r>
    <r>
      <rPr>
        <b/>
        <sz val="10"/>
        <rFont val="Arial"/>
        <family val="2"/>
      </rPr>
      <t>Perfil Funcional</t>
    </r>
    <r>
      <rPr>
        <sz val="10"/>
        <rFont val="Arial"/>
        <family val="2"/>
      </rPr>
      <t xml:space="preserve"> (PF) no Projeto é definido para cada colaborador em cada projeto de acordo com as funções a desempenhar pelo próprio, conforme definido na tabela </t>
    </r>
    <r>
      <rPr>
        <b/>
        <sz val="10"/>
        <rFont val="Arial"/>
        <family val="2"/>
      </rPr>
      <t>Funções por Tipo de Atividade e Perfil Funcional</t>
    </r>
    <r>
      <rPr>
        <sz val="10"/>
        <rFont val="Arial"/>
        <family val="2"/>
      </rPr>
      <t xml:space="preserve"> da folha </t>
    </r>
    <r>
      <rPr>
        <b/>
        <sz val="10"/>
        <rFont val="Arial"/>
        <family val="2"/>
      </rPr>
      <t>Parametros_Orcam</t>
    </r>
    <r>
      <rPr>
        <sz val="10"/>
        <rFont val="Arial"/>
        <family val="2"/>
      </rPr>
      <t xml:space="preserve">.
O PF no Projeto é estabelecido para 2 tipos funções no projeto:
      - Direção de Projeto: 4 níveis, sendo o nível Responsável Projeto-F0 aplicável a um projeto de grande dimensão e margem excecional;
      - Investigação e Desenvolvimento: 5 níveis, sendo o nível de Investigador Coordenador-A (F0) aplicável a trabalhos muito especializados com indicação nominativa de RH e margem excecional.
O PF no Projeto releva para o cálculo de proveitos da componente de RH, conforme referido na explicação do campo </t>
    </r>
    <r>
      <rPr>
        <b/>
        <sz val="10"/>
        <rFont val="Arial"/>
        <family val="2"/>
      </rPr>
      <t>Preço Cliente</t>
    </r>
    <r>
      <rPr>
        <sz val="10"/>
        <rFont val="Arial"/>
        <family val="2"/>
      </rPr>
      <t>.</t>
    </r>
  </si>
  <si>
    <t>Esforço (pxd)
Esforço (pxm)</t>
  </si>
  <si>
    <t>Neste modelo, consideram-se os seguintes períodos de trabalho efetivo por ano:
      - 11 meses;
      - 220 dias;
      - 1 600 horas.
Deste modo, o esforço é definido em pxd (pessoas x dia) e convertido em pxm (pessoas x mês) através de uma relação de 20 dias = 1 mês.</t>
  </si>
  <si>
    <t>Preço Cliente (€)</t>
  </si>
  <si>
    <r>
      <t xml:space="preserve">Mostra o cálculo do preço da componente de RH, baseado no esforço por perfil funcional e em preços unitários de referência definidos na folha </t>
    </r>
    <r>
      <rPr>
        <b/>
        <sz val="10"/>
        <rFont val="Arial"/>
        <family val="2"/>
      </rPr>
      <t>Dados_Gerais.</t>
    </r>
  </si>
  <si>
    <t>Folha RH - Equipa do Projeto - campos adicionais de preenchimento na opção Detalhado</t>
  </si>
  <si>
    <t>Lig</t>
  </si>
  <si>
    <r>
      <t xml:space="preserve">Em cada registo, este é o primeiro campo a ser preenchido com um dos seguintes valores correspondentes ao tipo de ligação aplicável: </t>
    </r>
    <r>
      <rPr>
        <b/>
        <sz val="10"/>
        <rFont val="Arial"/>
        <family val="2"/>
      </rPr>
      <t>C</t>
    </r>
    <r>
      <rPr>
        <sz val="10"/>
        <rFont val="Arial"/>
        <family val="2"/>
      </rPr>
      <t xml:space="preserve"> = Contratado (excecionalmente Estrutura Externo em regime de prestação de serviços) | </t>
    </r>
    <r>
      <rPr>
        <b/>
        <sz val="10"/>
        <rFont val="Arial"/>
        <family val="2"/>
      </rPr>
      <t>D</t>
    </r>
    <r>
      <rPr>
        <sz val="10"/>
        <rFont val="Arial"/>
        <family val="2"/>
      </rPr>
      <t xml:space="preserve"> = Docente ou Investigador Afiliado (afetos a uma IES) | </t>
    </r>
    <r>
      <rPr>
        <b/>
        <sz val="10"/>
        <rFont val="Arial"/>
        <family val="2"/>
      </rPr>
      <t>B</t>
    </r>
    <r>
      <rPr>
        <sz val="10"/>
        <rFont val="Arial"/>
        <family val="2"/>
      </rPr>
      <t xml:space="preserve"> = Bolseiro</t>
    </r>
  </si>
  <si>
    <t>EC</t>
  </si>
  <si>
    <t>A participação no projeto de colaboradores da Estrutura Central deve ser assinalada neste campo.
O Centro associado a esta participação ficará responsável pela compensação do respetivo custo fixo, através de uma transferência interna.</t>
  </si>
  <si>
    <t>Ativo | Novo?</t>
  </si>
  <si>
    <t>Indica se o colaborador é preexistente (ativo) ou se será contratado se o projeto for aprovado (novo).</t>
  </si>
  <si>
    <t>Instituição Vínculo</t>
  </si>
  <si>
    <r>
      <rPr>
        <b/>
        <sz val="10"/>
        <rFont val="Arial"/>
        <family val="2"/>
      </rPr>
      <t>Contratados</t>
    </r>
    <r>
      <rPr>
        <sz val="10"/>
        <rFont val="Arial"/>
        <family val="2"/>
      </rPr>
      <t xml:space="preserve">: INESCTEC
</t>
    </r>
    <r>
      <rPr>
        <b/>
        <sz val="10"/>
        <rFont val="Arial"/>
        <family val="2"/>
      </rPr>
      <t>Docentes</t>
    </r>
    <r>
      <rPr>
        <sz val="10"/>
        <rFont val="Arial"/>
        <family val="2"/>
      </rPr>
      <t xml:space="preserve">: IES aplicável (releva para a aplicação do OH em Complementos Docente)
</t>
    </r>
    <r>
      <rPr>
        <b/>
        <sz val="10"/>
        <rFont val="Arial"/>
        <family val="2"/>
      </rPr>
      <t>Bolseiros</t>
    </r>
    <r>
      <rPr>
        <sz val="10"/>
        <rFont val="Arial"/>
        <family val="2"/>
      </rPr>
      <t xml:space="preserve">: INESCTEC | FCT | IES aplicável (informativo)
      </t>
    </r>
    <r>
      <rPr>
        <i/>
        <sz val="10"/>
        <rFont val="Arial"/>
        <family val="2"/>
      </rPr>
      <t>Nota: a lista de seleção da seleção apresenta todas as opções válidas para todas os tipos ligação - caso seja selecionada uma opção incompatível com o tipo de ligação, o valor é automaticamente apagado.</t>
    </r>
  </si>
  <si>
    <t>Origem Custo Fixo</t>
  </si>
  <si>
    <r>
      <t xml:space="preserve">Este campo caracteriza a origem dos fundos que financiam o custo fixo do colaborador, estando previstas 3 situações:
      - OI Geral: vínculo INESCTEC e ligação ao centro sem OI Financiamento;
      - OI EC:  vínculo INESCTEC e ligação à Estrutura Central - aplicável no caso de ser selecionada uma estrutura no campo </t>
    </r>
    <r>
      <rPr>
        <b/>
        <sz val="10"/>
        <rFont val="Arial"/>
        <family val="2"/>
      </rPr>
      <t>EC</t>
    </r>
    <r>
      <rPr>
        <sz val="10"/>
        <rFont val="Arial"/>
        <family val="2"/>
      </rPr>
      <t xml:space="preserve">
      - Outra OI: vínculo INESCTEC e ligação ao centro com OI Financiamento (Programa Estratégico ou projeto financiado)
      - Outra Fonte: vínculo não INESCTEC (FCT, IES ou outra instituição)
O valor inserido no campo </t>
    </r>
    <r>
      <rPr>
        <b/>
        <sz val="10"/>
        <rFont val="Arial"/>
        <family val="2"/>
      </rPr>
      <t>Origem Custo Fixo</t>
    </r>
    <r>
      <rPr>
        <sz val="10"/>
        <rFont val="Arial"/>
        <family val="2"/>
      </rPr>
      <t xml:space="preserve"> tem de estar em concordância com os campos </t>
    </r>
    <r>
      <rPr>
        <b/>
        <sz val="10"/>
        <rFont val="Arial"/>
        <family val="2"/>
      </rPr>
      <t>EC</t>
    </r>
    <r>
      <rPr>
        <sz val="10"/>
        <rFont val="Arial"/>
        <family val="2"/>
      </rPr>
      <t xml:space="preserve"> e </t>
    </r>
    <r>
      <rPr>
        <b/>
        <sz val="10"/>
        <rFont val="Arial"/>
        <family val="2"/>
      </rPr>
      <t>Instituição Vínculo</t>
    </r>
    <r>
      <rPr>
        <sz val="10"/>
        <rFont val="Arial"/>
        <family val="2"/>
      </rPr>
      <t xml:space="preserve"> - a programação do ficheiro garante essa coerência preenchendo automaticamente os valores se a opção for única e eliminando automaticamente a seleção de opções interditas.</t>
    </r>
  </si>
  <si>
    <t>Tipo Bolsa</t>
  </si>
  <si>
    <r>
      <t xml:space="preserve">O </t>
    </r>
    <r>
      <rPr>
        <b/>
        <sz val="10"/>
        <rFont val="Arial"/>
        <family val="2"/>
      </rPr>
      <t>Tipo Bolsa</t>
    </r>
    <r>
      <rPr>
        <sz val="10"/>
        <rFont val="Arial"/>
        <family val="2"/>
      </rPr>
      <t xml:space="preserve"> permite calcular diretamente o custo fixo unitário de bolseiros, de acordo com o respetivo valor da bolsa e afetação máxima a projetos (ver tabela </t>
    </r>
    <r>
      <rPr>
        <b/>
        <sz val="10"/>
        <rFont val="Arial"/>
        <family val="2"/>
      </rPr>
      <t>Custos de Recursos Humanos</t>
    </r>
    <r>
      <rPr>
        <sz val="10"/>
        <rFont val="Arial"/>
        <family val="2"/>
      </rPr>
      <t xml:space="preserve"> da folha </t>
    </r>
    <r>
      <rPr>
        <b/>
        <sz val="10"/>
        <rFont val="Arial"/>
        <family val="2"/>
      </rPr>
      <t>Parametros_Orcam</t>
    </r>
    <r>
      <rPr>
        <sz val="10"/>
        <rFont val="Arial"/>
        <family val="2"/>
      </rPr>
      <t>).</t>
    </r>
  </si>
  <si>
    <t xml:space="preserve">Perfil Funcional Nominal
</t>
  </si>
  <si>
    <r>
      <rPr>
        <b/>
        <sz val="10"/>
        <rFont val="Arial"/>
        <family val="2"/>
      </rPr>
      <t>Contratados</t>
    </r>
    <r>
      <rPr>
        <sz val="10"/>
        <rFont val="Arial"/>
        <family val="2"/>
      </rPr>
      <t xml:space="preserve">:
      - o Perfil Funcional (PF) Nominal tem associado um valor de remuneração de referência que deverá ser o mais próximo da remuneração real do contratado;
      - tem de ser especificado para se determinar o custo fixo unitário de contratados, de acordo com a tabela </t>
    </r>
    <r>
      <rPr>
        <b/>
        <sz val="10"/>
        <rFont val="Arial"/>
        <family val="2"/>
      </rPr>
      <t>Custos de Recursos Humanos</t>
    </r>
    <r>
      <rPr>
        <sz val="10"/>
        <rFont val="Arial"/>
        <family val="2"/>
      </rPr>
      <t xml:space="preserve"> da folha </t>
    </r>
    <r>
      <rPr>
        <b/>
        <sz val="10"/>
        <rFont val="Arial"/>
        <family val="2"/>
      </rPr>
      <t>Parametros_Orcam</t>
    </r>
    <r>
      <rPr>
        <sz val="10"/>
        <rFont val="Arial"/>
        <family val="2"/>
      </rPr>
      <t xml:space="preserve">;
      - para os contratados ativos, o PF Nominal pode ser obtido através da ligação </t>
    </r>
    <r>
      <rPr>
        <sz val="10"/>
        <color rgb="FFFF0000"/>
        <rFont val="Arial"/>
        <family val="2"/>
      </rPr>
      <t>https://iris.inesctec.pt/dashboard/listagensrhperfisfuncionais</t>
    </r>
    <r>
      <rPr>
        <sz val="10"/>
        <rFont val="Arial"/>
        <family val="2"/>
      </rPr>
      <t xml:space="preserve">.
      - nos casos em que determinados valores reais de remunerações sejam significativamente diferentes dos valores da remuneração de referência, é possível criar novos perfis (especiais) na folha
               </t>
    </r>
    <r>
      <rPr>
        <b/>
        <sz val="10"/>
        <rFont val="Arial"/>
        <family val="2"/>
      </rPr>
      <t>Parametros_Orcam</t>
    </r>
    <r>
      <rPr>
        <sz val="10"/>
        <rFont val="Arial"/>
        <family val="2"/>
      </rPr>
      <t xml:space="preserve">, bastando para tal indicar a remuneração real numa das células sombreadas a azul claro, que se encontram desbloqueadas.
</t>
    </r>
    <r>
      <rPr>
        <b/>
        <sz val="10"/>
        <rFont val="Arial"/>
        <family val="2"/>
      </rPr>
      <t>Docentes</t>
    </r>
    <r>
      <rPr>
        <sz val="10"/>
        <rFont val="Arial"/>
        <family val="2"/>
      </rPr>
      <t xml:space="preserve">: não aplicável
</t>
    </r>
    <r>
      <rPr>
        <b/>
        <sz val="10"/>
        <rFont val="Arial"/>
        <family val="2"/>
      </rPr>
      <t>Bolseiros</t>
    </r>
    <r>
      <rPr>
        <sz val="10"/>
        <rFont val="Arial"/>
        <family val="2"/>
      </rPr>
      <t xml:space="preserve">: o PF Nominal é calculado diretamente a partir do Tipo Bolsa, de acordo com a tabela </t>
    </r>
    <r>
      <rPr>
        <b/>
        <sz val="10"/>
        <rFont val="Arial"/>
        <family val="2"/>
      </rPr>
      <t>Custos de Recursos Humanos</t>
    </r>
    <r>
      <rPr>
        <sz val="10"/>
        <rFont val="Arial"/>
        <family val="2"/>
      </rPr>
      <t xml:space="preserve"> da folha </t>
    </r>
    <r>
      <rPr>
        <b/>
        <sz val="10"/>
        <rFont val="Arial"/>
        <family val="2"/>
      </rPr>
      <t>Parametros_Orcam</t>
    </r>
    <r>
      <rPr>
        <sz val="10"/>
        <rFont val="Arial"/>
        <family val="2"/>
      </rPr>
      <t>.</t>
    </r>
  </si>
  <si>
    <t>Período Afetação (meses)</t>
  </si>
  <si>
    <r>
      <t xml:space="preserve">O período de afetação corresponde ao nº de meses de ligação com afetação máxima ao projeto que conduziam ao esforço em pxm selecionado (depende do tipo de ligação, ver folha </t>
    </r>
    <r>
      <rPr>
        <b/>
        <sz val="10"/>
        <rFont val="Arial"/>
        <family val="2"/>
      </rPr>
      <t>Parametros_Orcam</t>
    </r>
    <r>
      <rPr>
        <sz val="10"/>
        <rFont val="Arial"/>
        <family val="2"/>
      </rPr>
      <t xml:space="preserve">, coluna </t>
    </r>
    <r>
      <rPr>
        <b/>
        <sz val="10"/>
        <rFont val="Arial"/>
        <family val="2"/>
      </rPr>
      <t>Afetação Máxima Projetos</t>
    </r>
    <r>
      <rPr>
        <sz val="10"/>
        <rFont val="Arial"/>
        <family val="2"/>
      </rPr>
      <t>).
Exemplos:
      - Contratados: como a afetação máxima a projetos é 100%, o período de afetação corresponde ao esforço em pxm.
      - Docentes: como a afetação máxima a projetos é 50%, o período de afetação é o dobro do esforço em pxm, ou seja, um esforço de 1 pxm requer 2 meses corridos de afetação de um docente.
      - Bolseiros: idêntico a Docentes.</t>
    </r>
  </si>
  <si>
    <t>CD | CB (%)</t>
  </si>
  <si>
    <t>O Complemento de Docente (CD) é orçamentado com base na totalidade do tempo de afetação ao Projeto e no valor da percentagem desta coluna, em que 100% conduz ao valor máximo a pagar.
O Complemento de Bolsa (CB) é igualmente orçamentado com base na totalidade do tempo de afetação ao Projeto e no valor da percentagem desta coluna, em que 100% conduz ao valor máximo a pagar correspondente ao nível de avaliação 3. Esta percentagem pode ser majorada até 125% de forma a contemplar o nível de avaliação 4, atribuído com caráter excecional.</t>
  </si>
  <si>
    <t>Custo Fixo Projeto
Custo Fixo Outro</t>
  </si>
  <si>
    <r>
      <t xml:space="preserve">Calculado para cada Contratado em função do seu enquadramento no respetivo Perfil Funcional (PF) nominal e do esforço no projeto.
Calculado para cada Bolseiro INESC TEC em função do seu Tipo Bolsa e do esforço no projeto.
A distinção entre custo do projeto e custo de outra fonte não tem impacto no cálculo dos custos totais do INESCTEC, mas é relevante a dois níveis:
      - na análise do grau de cobertura de custos pelos proveitos do projeto, o custo do projeto tem prioridade sobre o custo de outras fontes;
      - apenas o custo do projeto é considerado no orçamento interno do projeto (folha </t>
    </r>
    <r>
      <rPr>
        <b/>
        <sz val="10"/>
        <rFont val="Arial"/>
        <family val="2"/>
      </rPr>
      <t>Orcamento_INESCTEC</t>
    </r>
    <r>
      <rPr>
        <sz val="10"/>
        <rFont val="Arial"/>
        <family val="2"/>
      </rPr>
      <t>).</t>
    </r>
  </si>
  <si>
    <t>Custo Variável</t>
  </si>
  <si>
    <t>No caso de Docentes e Bolseiros, o custo variável corresponde ao custo que resulta da aplicação do modelo em vigor de Complementos de Docentes (CD) e Complementos de Bolsa (CB):
      - o CD unitário é definido em função do Perfil Funcional no projeto;
      - o CB unitário é definido em função do Tipo Bolsa, presumindo-se um nível de avaliação médio de 2.</t>
  </si>
  <si>
    <t>Folha OCD - Outros Custos Diretos (não RH)</t>
  </si>
  <si>
    <t>Rubrica Orçamental</t>
  </si>
  <si>
    <t>Define o enquadramento dos custos não RH no orçamento interno do Projeto.
Considera-se que todo o investimento é amortizado no período de execução do projeto, pelo que os valores indicados nas diversas rubricas são totalizados como amortizações no orçamento interno do Projeto.</t>
  </si>
  <si>
    <t>Imputação Explícita Cliente</t>
  </si>
  <si>
    <r>
      <t xml:space="preserve">Indica se o item respetivo é imputável ao cliente de forma explícita, como acontece geralmente com despesas de viagens.
Os itens imputados ao cliente vão figurar na listagem de dados para formação do contrato (folha </t>
    </r>
    <r>
      <rPr>
        <b/>
        <sz val="10"/>
        <rFont val="Arial"/>
        <family val="2"/>
      </rPr>
      <t>Indicadores_Proposta</t>
    </r>
    <r>
      <rPr>
        <sz val="10"/>
        <rFont val="Arial"/>
        <family val="2"/>
      </rPr>
      <t>)</t>
    </r>
  </si>
  <si>
    <t>Caracterização</t>
  </si>
  <si>
    <t>Neste campo deverão ser fornecidos detalhes dos custos, sendo tal discriminação obrigatória nos itens imputados ao cliente.</t>
  </si>
  <si>
    <t>Folha VAL - Valorização de Ativos Preexistentes</t>
  </si>
  <si>
    <t>Tipo Resultado</t>
  </si>
  <si>
    <t>O valor do contrato pode ser majorado pelo facto de serem incorporados nos trabalhos do projeto resultados gerados em projetos anteriores, estando previstos os seguintes tipos:
      - Protótipo;
      - Software;
      - Metodologia;
      - Outro.
Está igualmente prevista uma valorização resultante da utilização de infraestruturas laboratoriais, sendo indicados os seguintes tipos:
      - Laboratório (no caso de utilização genérica de vários equipamentos de um laboratório);
      - Equipamento (no caso de utilização de um equipamento específico, a indicar).</t>
  </si>
  <si>
    <r>
      <t xml:space="preserve">Indica se o item respetivo é imputável ao cliente de forma explícita.
Os itens imputados ao cliente vão figurar na listagem de dados para formação do contrato (folha </t>
    </r>
    <r>
      <rPr>
        <b/>
        <sz val="10"/>
        <rFont val="Arial"/>
        <family val="2"/>
      </rPr>
      <t>Indicadores_Proposta</t>
    </r>
    <r>
      <rPr>
        <sz val="10"/>
        <rFont val="Arial"/>
        <family val="2"/>
      </rPr>
      <t>)</t>
    </r>
  </si>
  <si>
    <t>Valor</t>
  </si>
  <si>
    <r>
      <t xml:space="preserve">O valor a atribuir a cada resultado é muito subjetivo e dependerá do seu caráter diferenciador que confere um valor acrescentado à proposta.
Já no que se refere às infraestruturas laboratoriais, o valor poderá ser estimado tendo como base um custo unitário (por dia ou hora) e o tempo de utilização. O tempo de RH afetos às operações laboratoriais deve ser contabilizado na folha </t>
    </r>
    <r>
      <rPr>
        <b/>
        <sz val="10"/>
        <rFont val="Arial"/>
        <family val="2"/>
      </rPr>
      <t>RH</t>
    </r>
    <r>
      <rPr>
        <sz val="10"/>
        <rFont val="Arial"/>
        <family val="2"/>
      </rPr>
      <t xml:space="preserve">, não contribuindo, por isso, para o custo de utilização de infraestruturas laboratoriais.
Em termos de preço para o cliente, se for possível imputar explicitamente ao cliente esta parcela, deverá ser caracterizada através de um descritivo apropriado. Se essa imputação explícita não for possível, é assinalado </t>
    </r>
    <r>
      <rPr>
        <b/>
        <sz val="10"/>
        <rFont val="Arial"/>
        <family val="2"/>
      </rPr>
      <t>Não</t>
    </r>
    <r>
      <rPr>
        <sz val="10"/>
        <rFont val="Arial"/>
        <family val="2"/>
      </rPr>
      <t xml:space="preserve"> no campo anterior, podendo esta parcela ser incorporado no preço ao cliente através de um acréscimo do preço unitário dos RH afetos ao projeto, circunstância esta que deverá ser relevada na caracterização.</t>
    </r>
  </si>
  <si>
    <t>Neste campo deverão ser fornecidos detalhes do resultado e das infraestruturas laboratoriais aplicáveis, nomeadamente a sua natureza e potencial diferenciador, sendo esta caracterização obrigatória no caso imputação ao cliente.</t>
  </si>
  <si>
    <t>Dados completos</t>
  </si>
  <si>
    <t>Nota: os campos sombreados a amarelo são obrigatórios</t>
  </si>
  <si>
    <t>INFORMAÇÃO GERAL DA PROPOSTA</t>
  </si>
  <si>
    <t>Ref</t>
  </si>
  <si>
    <t>Dados</t>
  </si>
  <si>
    <t>Valores_Ref</t>
  </si>
  <si>
    <t>Valores_Prop</t>
  </si>
  <si>
    <t>id_OI</t>
  </si>
  <si>
    <t>#</t>
  </si>
  <si>
    <r>
      <t>Dados de Identificação da Proposta</t>
    </r>
    <r>
      <rPr>
        <b/>
        <i/>
        <sz val="12"/>
        <color rgb="FFFF0000"/>
        <rFont val="Arial"/>
        <family val="2"/>
      </rPr>
      <t xml:space="preserve"> ← preenchidos com dados coincidentes com o registo no processo Proposta de Projeto</t>
    </r>
  </si>
  <si>
    <t>#1</t>
  </si>
  <si>
    <t>Projeto</t>
  </si>
  <si>
    <t>Nome Curto Projeto:</t>
  </si>
  <si>
    <t>Amorim_OT_F1</t>
  </si>
  <si>
    <t>Data:</t>
  </si>
  <si>
    <t>Versão:</t>
  </si>
  <si>
    <t>1</t>
  </si>
  <si>
    <t>Titulo</t>
  </si>
  <si>
    <t>Título Projeto:</t>
  </si>
  <si>
    <t xml:space="preserve">Modelo Base de Governo e Gestão de Dados, Arquitetura e Ferramenta de Diagnóstico de Protocolos Funcionais </t>
  </si>
  <si>
    <t>Proc_Intranet</t>
  </si>
  <si>
    <t>Processo Intranet:</t>
  </si>
  <si>
    <t>PP2025-0330</t>
  </si>
  <si>
    <t>Cliente</t>
  </si>
  <si>
    <t>Nome Cliente:</t>
  </si>
  <si>
    <t>Corticeira Amorim</t>
  </si>
  <si>
    <t>Nome Contacto Cliente:</t>
  </si>
  <si>
    <t>Alexandra Vinhais</t>
  </si>
  <si>
    <t>Email Contacto:</t>
  </si>
  <si>
    <t/>
  </si>
  <si>
    <r>
      <t>Dados Gerais de Execução da Proposta</t>
    </r>
    <r>
      <rPr>
        <b/>
        <i/>
        <sz val="12"/>
        <color rgb="FFFF0000"/>
        <rFont val="Arial"/>
        <family val="2"/>
      </rPr>
      <t xml:space="preserve"> ← preenchidos pelo(s) Centros(s) participante(s)</t>
    </r>
  </si>
  <si>
    <t>Introduzir dados nesta secção</t>
  </si>
  <si>
    <t>Datas</t>
  </si>
  <si>
    <t>Planeamento (previsão):</t>
  </si>
  <si>
    <t>Início:</t>
  </si>
  <si>
    <t>Fim:</t>
  </si>
  <si>
    <t>Duração (meses):</t>
  </si>
  <si>
    <t>Centro_Prop</t>
  </si>
  <si>
    <t>Centro Proponente:</t>
  </si>
  <si>
    <t>CESE</t>
  </si>
  <si>
    <t>Resp Proj:</t>
  </si>
  <si>
    <t>Rui Rebelo</t>
  </si>
  <si>
    <t xml:space="preserve">id OI Base: </t>
  </si>
  <si>
    <t>id OI a preencher pelo CG após celebração contrato, se aplicável</t>
  </si>
  <si>
    <t>Centro_Part1</t>
  </si>
  <si>
    <t>Centro Participante 1:</t>
  </si>
  <si>
    <t>Resp 1:</t>
  </si>
  <si>
    <t xml:space="preserve">id OI 1: </t>
  </si>
  <si>
    <t>Centro_Part2</t>
  </si>
  <si>
    <t>Centro Participante 2:</t>
  </si>
  <si>
    <t>Resp 2:</t>
  </si>
  <si>
    <t xml:space="preserve">id OI 2: </t>
  </si>
  <si>
    <t>Centro_Part3</t>
  </si>
  <si>
    <t>Centro Participante 3:</t>
  </si>
  <si>
    <t>Resp 3:</t>
  </si>
  <si>
    <t xml:space="preserve">id OI 3: </t>
  </si>
  <si>
    <t>Centro_Part4</t>
  </si>
  <si>
    <t>Centro Participante 4:</t>
  </si>
  <si>
    <t>Resp 4:</t>
  </si>
  <si>
    <t xml:space="preserve">id OI 4: </t>
  </si>
  <si>
    <t>Info_CG</t>
  </si>
  <si>
    <t>Referência Contrato:</t>
  </si>
  <si>
    <t>Validado CG</t>
  </si>
  <si>
    <t>Data Validação CG:</t>
  </si>
  <si>
    <t>A preencher pelo CG após celebração contrato, se aplicável</t>
  </si>
  <si>
    <t>Dados Gerais de Orçamentação</t>
  </si>
  <si>
    <t>Funções no Projeto</t>
  </si>
  <si>
    <t>Perfil Funcional</t>
  </si>
  <si>
    <t>Intervalo Preços</t>
  </si>
  <si>
    <t>Máx SI IDT (€/pxm)</t>
  </si>
  <si>
    <t>Preços Unitários Proposta</t>
  </si>
  <si>
    <t>Preco_PF</t>
  </si>
  <si>
    <t>Min  (€/pxm)</t>
  </si>
  <si>
    <t>Max  (€/pxm)</t>
  </si>
  <si>
    <t>(€/pxm)</t>
  </si>
  <si>
    <t>(€/pxd)</t>
  </si>
  <si>
    <t>(€/pxh)</t>
  </si>
  <si>
    <t>Responsável Projeto–A | Investigador Coordenador-A</t>
  </si>
  <si>
    <t>F0</t>
  </si>
  <si>
    <t>Responsável Projeto | Investigador Coordenador</t>
  </si>
  <si>
    <t>F1</t>
  </si>
  <si>
    <t>Investigador Principal</t>
  </si>
  <si>
    <t>F2</t>
  </si>
  <si>
    <t>Investigador Sénior</t>
  </si>
  <si>
    <t>F3</t>
  </si>
  <si>
    <t>Investigador</t>
  </si>
  <si>
    <t>F4</t>
  </si>
  <si>
    <t>Investigador Adjunto</t>
  </si>
  <si>
    <t>F5</t>
  </si>
  <si>
    <t>Observações Proponente:</t>
  </si>
  <si>
    <t>Observações CE | CG:</t>
  </si>
  <si>
    <t>#2</t>
  </si>
  <si>
    <t>X</t>
  </si>
  <si>
    <t>Alerta: dados obrigatórios em falta</t>
  </si>
  <si>
    <t>Tipo Ligação</t>
  </si>
  <si>
    <t>RH Centros | Estrutura Central</t>
  </si>
  <si>
    <t>PF Nominal Calculado</t>
  </si>
  <si>
    <t>PF Projeto Calculado</t>
  </si>
  <si>
    <t>Dados tabelas completos</t>
  </si>
  <si>
    <t>RECURSOS HUMANOS - EQUIPA DO PROJETO</t>
  </si>
  <si>
    <t>Criterio</t>
  </si>
  <si>
    <t xml:space="preserve">Opção de preenchimento: </t>
  </si>
  <si>
    <t>Simplificado</t>
  </si>
  <si>
    <t xml:space="preserve">Critério: </t>
  </si>
  <si>
    <t xml:space="preserve">Projeto: </t>
  </si>
  <si>
    <t xml:space="preserve">Início: </t>
  </si>
  <si>
    <t xml:space="preserve">Fim: </t>
  </si>
  <si>
    <t xml:space="preserve">  Controlo Dados
  em  Falta</t>
  </si>
  <si>
    <t xml:space="preserve">  Controlo Dados
  Incoerentes</t>
  </si>
  <si>
    <t xml:space="preserve">Centro(s): </t>
  </si>
  <si>
    <t>PF_N_Calc</t>
  </si>
  <si>
    <t>PF_P_Calc</t>
  </si>
  <si>
    <t>Tab</t>
  </si>
  <si>
    <t>A-N</t>
  </si>
  <si>
    <t>Nome_RH</t>
  </si>
  <si>
    <t>Inst_Vinculo</t>
  </si>
  <si>
    <t>Origem_Financ</t>
  </si>
  <si>
    <t>Tipo_Bolsa</t>
  </si>
  <si>
    <t>PF_Nominal</t>
  </si>
  <si>
    <t>PF_Proj</t>
  </si>
  <si>
    <t>Funcao_Proj</t>
  </si>
  <si>
    <t>Complem</t>
  </si>
  <si>
    <t>Esforco_pxd</t>
  </si>
  <si>
    <t>Esforco_pxm</t>
  </si>
  <si>
    <t>Periodo_Afetacao</t>
  </si>
  <si>
    <t>Custo_Fixo_Proj</t>
  </si>
  <si>
    <t>Custo_Fixo_Outro</t>
  </si>
  <si>
    <t>Custo_Variavel</t>
  </si>
  <si>
    <t>Custo_Direto_Total</t>
  </si>
  <si>
    <t>Preco_Cliente</t>
  </si>
  <si>
    <t>Filtro</t>
  </si>
  <si>
    <r>
      <t xml:space="preserve">Nome ou Grupo RH
</t>
    </r>
    <r>
      <rPr>
        <b/>
        <sz val="11"/>
        <color rgb="FFFF0000"/>
        <rFont val="Arial"/>
        <family val="2"/>
      </rPr>
      <t>(definido ou a definir)</t>
    </r>
  </si>
  <si>
    <t>Origem
Custo Fixo</t>
  </si>
  <si>
    <t>CD | CB
(%)</t>
  </si>
  <si>
    <t>Esforço
(pxd)</t>
  </si>
  <si>
    <t>Esforço
(pxm)</t>
  </si>
  <si>
    <t>Custo Fixo</t>
  </si>
  <si>
    <t>Custo Direto</t>
  </si>
  <si>
    <t>Preço Cliente</t>
  </si>
  <si>
    <t>Nominal</t>
  </si>
  <si>
    <t>Outro</t>
  </si>
  <si>
    <t>V | F</t>
  </si>
  <si>
    <t>V | I</t>
  </si>
  <si>
    <r>
      <t xml:space="preserve">Tabela A - Equipa do Projeto </t>
    </r>
    <r>
      <rPr>
        <b/>
        <sz val="12"/>
        <rFont val="Calibri"/>
        <family val="2"/>
      </rPr>
      <t>→</t>
    </r>
    <r>
      <rPr>
        <b/>
        <sz val="12"/>
        <rFont val="Arial"/>
        <family val="2"/>
      </rPr>
      <t xml:space="preserve"> preenchimento </t>
    </r>
    <r>
      <rPr>
        <b/>
        <u/>
        <sz val="12"/>
        <rFont val="Arial"/>
        <family val="2"/>
      </rPr>
      <t>simplificado</t>
    </r>
    <r>
      <rPr>
        <b/>
        <sz val="12"/>
        <rFont val="Arial"/>
        <family val="2"/>
      </rPr>
      <t xml:space="preserve"> sem discriminação de ligações</t>
    </r>
  </si>
  <si>
    <t>Responsável Projeto–F0</t>
  </si>
  <si>
    <t>Lucas Soares</t>
  </si>
  <si>
    <t>Investigador Coordenador</t>
  </si>
  <si>
    <t>Henrique Silva</t>
  </si>
  <si>
    <t>Filipe Ferreira</t>
  </si>
  <si>
    <t>Sthefan</t>
  </si>
  <si>
    <t>#1A</t>
  </si>
  <si>
    <r>
      <t xml:space="preserve">Tabela B - Equipa do Projeto </t>
    </r>
    <r>
      <rPr>
        <b/>
        <sz val="12"/>
        <rFont val="Calibri"/>
        <family val="2"/>
      </rPr>
      <t>→</t>
    </r>
    <r>
      <rPr>
        <b/>
        <sz val="12"/>
        <rFont val="Arial"/>
        <family val="2"/>
      </rPr>
      <t xml:space="preserve"> preenchimento </t>
    </r>
    <r>
      <rPr>
        <b/>
        <u/>
        <sz val="12"/>
        <rFont val="Arial"/>
        <family val="2"/>
      </rPr>
      <t>detalhado</t>
    </r>
    <r>
      <rPr>
        <b/>
        <sz val="12"/>
        <rFont val="Arial"/>
        <family val="2"/>
      </rPr>
      <t xml:space="preserve"> com discriminação de ligações</t>
    </r>
  </si>
  <si>
    <t>#1B</t>
  </si>
  <si>
    <t>TOTAL</t>
  </si>
  <si>
    <t>F</t>
  </si>
  <si>
    <t>Total_C</t>
  </si>
  <si>
    <t>C</t>
  </si>
  <si>
    <t>Alerta: dados de esforço incoerentes entre a Tabela A e a Tabela B</t>
  </si>
  <si>
    <t>RH TOTAL CENTROS</t>
  </si>
  <si>
    <t>Total_EC</t>
  </si>
  <si>
    <t>RH TOTAL ESTRUTURA CENTRAL</t>
  </si>
  <si>
    <t>Lig_X0</t>
  </si>
  <si>
    <t>Y</t>
  </si>
  <si>
    <t>Lig_C0</t>
  </si>
  <si>
    <t>D1</t>
  </si>
  <si>
    <t>C=PF_P</t>
  </si>
  <si>
    <t>D</t>
  </si>
  <si>
    <t>Lig_X</t>
  </si>
  <si>
    <t>Lig_C</t>
  </si>
  <si>
    <t>O=ECC,TEC4AGR,TEC4ENE,TEC4HEA,TEC4IND,TEC4SEA,TEC4OUTRO,CA,AG,AJ,CF,CG,RH,DPO,SAAF,SAL,SRI,SCOM,SRC,SIG,SAS,SGI,EDIF</t>
  </si>
  <si>
    <t>F=INESCTEC</t>
  </si>
  <si>
    <t>C=C_Origem_CF</t>
  </si>
  <si>
    <t>Lig_D</t>
  </si>
  <si>
    <t>C=D_Origem_CF</t>
  </si>
  <si>
    <t>C=CD</t>
  </si>
  <si>
    <t>Lig_B</t>
  </si>
  <si>
    <t>B</t>
  </si>
  <si>
    <t>C=B_Origem_CF</t>
  </si>
  <si>
    <t>M=BIPD,BI-M-ED,BI-L-EM,BI-M-CEA,BI-L-CE,BII-E,BII-CE</t>
  </si>
  <si>
    <t>C=B_PF_N</t>
  </si>
  <si>
    <t>C=CB</t>
  </si>
  <si>
    <t>Tipo Custo</t>
  </si>
  <si>
    <t>Dados completos de itens imputados a cliente</t>
  </si>
  <si>
    <t>OUTROS CUSTOS DIRETOS (NÃO RH)</t>
  </si>
  <si>
    <t>Codigo</t>
  </si>
  <si>
    <t>Dados1</t>
  </si>
  <si>
    <t>Codigo1</t>
  </si>
  <si>
    <t>Rubrica</t>
  </si>
  <si>
    <t>Imput_Cliente</t>
  </si>
  <si>
    <t>Obs</t>
  </si>
  <si>
    <t xml:space="preserve">Centro </t>
  </si>
  <si>
    <t>Valor (€)</t>
  </si>
  <si>
    <t>Imputação Explícita Cliente?</t>
  </si>
  <si>
    <t>Outros Custos Operacionais</t>
  </si>
  <si>
    <t>Opções das rubricas de Exploração</t>
  </si>
  <si>
    <t>O</t>
  </si>
  <si>
    <t>Subcontratos</t>
  </si>
  <si>
    <t>Viagens e Educação Contínua</t>
  </si>
  <si>
    <t>Manutenção Equipamento</t>
  </si>
  <si>
    <t>Comunicações</t>
  </si>
  <si>
    <t>Fornec. e Serviços Externos</t>
  </si>
  <si>
    <t>Honorários</t>
  </si>
  <si>
    <t>Despesas Internas</t>
  </si>
  <si>
    <r>
      <t xml:space="preserve">OCO TOTAL (€) </t>
    </r>
    <r>
      <rPr>
        <b/>
        <sz val="11"/>
        <rFont val="Calibri"/>
        <family val="2"/>
      </rPr>
      <t>→</t>
    </r>
  </si>
  <si>
    <r>
      <rPr>
        <b/>
        <sz val="11"/>
        <rFont val="Calibri"/>
        <family val="2"/>
      </rPr>
      <t>←</t>
    </r>
    <r>
      <rPr>
        <b/>
        <sz val="11"/>
        <rFont val="Arial"/>
        <family val="2"/>
      </rPr>
      <t xml:space="preserve"> OCO IMPUTADO CLIENTE (€)</t>
    </r>
  </si>
  <si>
    <r>
      <t>Investimento</t>
    </r>
    <r>
      <rPr>
        <b/>
        <i/>
        <sz val="12"/>
        <color rgb="FFFF0000"/>
        <rFont val="Arial"/>
        <family val="2"/>
      </rPr>
      <t xml:space="preserve"> ← amortizado totalmente no período do projeto</t>
    </r>
  </si>
  <si>
    <t>Opções das rubricas de Investimento</t>
  </si>
  <si>
    <t>I</t>
  </si>
  <si>
    <t>Equip. Laboratório/Informático</t>
  </si>
  <si>
    <t>Equipamento de Transporte</t>
  </si>
  <si>
    <t>Equipamento Diverso</t>
  </si>
  <si>
    <t>Equipamento Administrativo</t>
  </si>
  <si>
    <t>Software</t>
  </si>
  <si>
    <r>
      <t xml:space="preserve">INV TOTAL (€) </t>
    </r>
    <r>
      <rPr>
        <b/>
        <sz val="11"/>
        <rFont val="Calibri"/>
        <family val="2"/>
      </rPr>
      <t>→</t>
    </r>
  </si>
  <si>
    <r>
      <rPr>
        <b/>
        <sz val="11"/>
        <rFont val="Calibri"/>
        <family val="2"/>
      </rPr>
      <t>←</t>
    </r>
    <r>
      <rPr>
        <b/>
        <sz val="11"/>
        <rFont val="Arial"/>
        <family val="2"/>
      </rPr>
      <t xml:space="preserve"> INV IMPUTADO CLIENTE (€)</t>
    </r>
  </si>
  <si>
    <t>V1</t>
  </si>
  <si>
    <t>VALORIZAÇÃO DE ATIVOS PREEXISTENTES</t>
  </si>
  <si>
    <t>Tipo_Ativo</t>
  </si>
  <si>
    <t>Tipo Ativo</t>
  </si>
  <si>
    <t>Valorização de Resultados Preexistentes</t>
  </si>
  <si>
    <r>
      <t xml:space="preserve">VAL_RES TOTAL (€) </t>
    </r>
    <r>
      <rPr>
        <b/>
        <sz val="11"/>
        <rFont val="Calibri"/>
        <family val="2"/>
      </rPr>
      <t>→</t>
    </r>
  </si>
  <si>
    <r>
      <rPr>
        <b/>
        <sz val="11"/>
        <rFont val="Calibri"/>
        <family val="2"/>
      </rPr>
      <t>←</t>
    </r>
    <r>
      <rPr>
        <b/>
        <sz val="11"/>
        <rFont val="Arial"/>
        <family val="2"/>
      </rPr>
      <t xml:space="preserve"> VAL_RES IMPUTADO CLIENTE (€)</t>
    </r>
  </si>
  <si>
    <t>Valorização de Infraestruturas Laboratoriais</t>
  </si>
  <si>
    <r>
      <t xml:space="preserve">VAL_LAB TOTAL (€) </t>
    </r>
    <r>
      <rPr>
        <b/>
        <sz val="11"/>
        <rFont val="Calibri"/>
        <family val="2"/>
      </rPr>
      <t>→</t>
    </r>
  </si>
  <si>
    <r>
      <rPr>
        <b/>
        <sz val="11"/>
        <rFont val="Calibri"/>
        <family val="2"/>
      </rPr>
      <t>←</t>
    </r>
    <r>
      <rPr>
        <b/>
        <sz val="11"/>
        <rFont val="Arial"/>
        <family val="2"/>
      </rPr>
      <t xml:space="preserve"> VAL_LAB IMPUTADO CLIENTE (€)</t>
    </r>
  </si>
  <si>
    <t>Nota: preencher/alterar apenas os campos sombreados a azul</t>
  </si>
  <si>
    <t>DADOS GERAIS DA PROPOSTA</t>
  </si>
  <si>
    <t xml:space="preserve">Cliente: </t>
  </si>
  <si>
    <t xml:space="preserve">Responsável: </t>
  </si>
  <si>
    <t xml:space="preserve">Duração: </t>
  </si>
  <si>
    <t>(meses)</t>
  </si>
  <si>
    <t>Tipo</t>
  </si>
  <si>
    <t>INDICADORES PARA PROPOSTA CLIENTE</t>
  </si>
  <si>
    <t>Orçamentação baseada em preços de referência de RH</t>
  </si>
  <si>
    <t>Esforço da Equipa do Projeto e Preços Cliente</t>
  </si>
  <si>
    <t>Tipo de Atividade</t>
  </si>
  <si>
    <t>Perfil
Funcional</t>
  </si>
  <si>
    <t>Preço Unitário RH (€/pxm)</t>
  </si>
  <si>
    <t>Direcção de Projeto</t>
  </si>
  <si>
    <t>Responsável Projeto–F1</t>
  </si>
  <si>
    <t>Responsável Projeto–F2</t>
  </si>
  <si>
    <t>Responsável Projeto–F3</t>
  </si>
  <si>
    <t>Investigação e Desenvolvimento</t>
  </si>
  <si>
    <t>Investigador Coordenador-A</t>
  </si>
  <si>
    <t>TOTAL RH</t>
  </si>
  <si>
    <r>
      <t>Outros Custos Diretos</t>
    </r>
    <r>
      <rPr>
        <b/>
        <i/>
        <sz val="12"/>
        <color rgb="FFFF0000"/>
        <rFont val="Arial"/>
        <family val="2"/>
      </rPr>
      <t xml:space="preserve"> </t>
    </r>
    <r>
      <rPr>
        <b/>
        <i/>
        <sz val="12"/>
        <color rgb="FFFF0000"/>
        <rFont val="Calibri"/>
        <family val="2"/>
        <scheme val="minor"/>
      </rPr>
      <t>←</t>
    </r>
    <r>
      <rPr>
        <b/>
        <i/>
        <sz val="12"/>
        <color rgb="FFFF0000"/>
        <rFont val="Arial"/>
        <family val="2"/>
      </rPr>
      <t xml:space="preserve"> imputados explicitamente a cliente</t>
    </r>
  </si>
  <si>
    <t>TOTAL OCD</t>
  </si>
  <si>
    <r>
      <t>Valorização de Ativos Preexistentes</t>
    </r>
    <r>
      <rPr>
        <b/>
        <i/>
        <sz val="12"/>
        <color rgb="FFFF0000"/>
        <rFont val="Arial"/>
        <family val="2"/>
      </rPr>
      <t xml:space="preserve"> </t>
    </r>
    <r>
      <rPr>
        <b/>
        <i/>
        <sz val="12"/>
        <color rgb="FFFF0000"/>
        <rFont val="Calibri"/>
        <family val="2"/>
        <scheme val="minor"/>
      </rPr>
      <t>←</t>
    </r>
    <r>
      <rPr>
        <b/>
        <i/>
        <sz val="12"/>
        <color rgb="FFFF0000"/>
        <rFont val="Arial"/>
        <family val="2"/>
      </rPr>
      <t xml:space="preserve"> imputados explicitamente a cliente</t>
    </r>
  </si>
  <si>
    <t>TOTAL VAL</t>
  </si>
  <si>
    <t>PREÇO TOTAL SUGERIDO</t>
  </si>
  <si>
    <t>PREÇO TOTAL FINAL</t>
  </si>
  <si>
    <t>DISTRIBUIÇÃO DE PROVEITOS</t>
  </si>
  <si>
    <t>Valorização Ativos - considerados apenas itens imputados explicitamente a cliente</t>
  </si>
  <si>
    <t>Fonte Proveitos</t>
  </si>
  <si>
    <t>Total</t>
  </si>
  <si>
    <t>Recursos Humanos - Esforço</t>
  </si>
  <si>
    <t>Exploração - Subcontratos</t>
  </si>
  <si>
    <t>Exploração - Outras Despesas</t>
  </si>
  <si>
    <t>Investimento</t>
  </si>
  <si>
    <t>Valorização Ativos</t>
  </si>
  <si>
    <t>Angariação | Negociação Projeto</t>
  </si>
  <si>
    <t>OH Angariação | Negociação Projeto</t>
  </si>
  <si>
    <t>Ajuste Preço</t>
  </si>
  <si>
    <t>Ajuste Preço Total = Preço Total Final - Preço Total Sugerido</t>
  </si>
  <si>
    <t xml:space="preserve">TOTAL </t>
  </si>
  <si>
    <t>INDICADORES INTERNOS DO PROJETO</t>
  </si>
  <si>
    <t>Esforço da equipa do projeto</t>
  </si>
  <si>
    <t>Perfil Func.</t>
  </si>
  <si>
    <t>Total (pxm)</t>
  </si>
  <si>
    <t>TOTAL (pxm)</t>
  </si>
  <si>
    <t>Custos, proveitos e margens do projeto</t>
  </si>
  <si>
    <t>Total (€)</t>
  </si>
  <si>
    <t>Custos Fixos Projeto: Recursos Humanos</t>
  </si>
  <si>
    <t>Custos de fixos de RH calculados com base nos custos de cada Perfil Funcional dos RH afetos</t>
  </si>
  <si>
    <t>Custos Variáveis Projeto: Recursos Humanos</t>
  </si>
  <si>
    <t>Custos Diretos Projeto: Recursos Humanos Centros</t>
  </si>
  <si>
    <t>Custos Diretos Projeto: Recursos Humanos EC</t>
  </si>
  <si>
    <t>Custos Diretos Projeto: Recursos Humanos</t>
  </si>
  <si>
    <t>Custos Diretos Projeto: Outros Custos Operacionais</t>
  </si>
  <si>
    <t>Custos Diretos Projeto: Investimento</t>
  </si>
  <si>
    <t>Custos Diretos Outras Fontes: Recursos Humanos</t>
  </si>
  <si>
    <t>Custos Indiretos: Estrutura Central</t>
  </si>
  <si>
    <t>Custos Indiretos: Estrutura Local</t>
  </si>
  <si>
    <t>Valorização de Ativos</t>
  </si>
  <si>
    <t>CUSTOS TOTAIS (€)</t>
  </si>
  <si>
    <t>PROVEITOS TOTAIS (€)</t>
  </si>
  <si>
    <t>Inclui Valorização de Ativos</t>
  </si>
  <si>
    <t>MARGENS TOTAIS (€)</t>
  </si>
  <si>
    <t>MARGENS RELATIVAS (%)</t>
  </si>
  <si>
    <t>Indicadores de custos e margens por prioridade de cobertura</t>
  </si>
  <si>
    <t>CUSTOS
(€)</t>
  </si>
  <si>
    <t>Custos Diretos Projeto</t>
  </si>
  <si>
    <t>Inclui Custos RH | Outros Custos Diretos | Investimento</t>
  </si>
  <si>
    <t>Custos Diretos Totais</t>
  </si>
  <si>
    <t>Acrescem Custos Outras Fontes</t>
  </si>
  <si>
    <t>Custos Totais</t>
  </si>
  <si>
    <t>Acrescem Custos da Estrutura Central e Local</t>
  </si>
  <si>
    <t>MARGENS TOTAIS
(€)</t>
  </si>
  <si>
    <t>Margem Custos Diretos Projeto</t>
  </si>
  <si>
    <t>Margem Custos Diretos Totais</t>
  </si>
  <si>
    <t>Margem Custos Totais</t>
  </si>
  <si>
    <t>MARGENS RELATIVAS
(%)</t>
  </si>
  <si>
    <t>NOTAS SOBRE OBJETIVOS DE COBERTURA DE CUSTOS</t>
  </si>
  <si>
    <t>a) Margem e percentagem de cobertura de custos diretos do projeto</t>
  </si>
  <si>
    <t>A cobertura dos custos diretos do projeto incorridos no INESC TEC é o mínimo exigido para o projeto não dar prejuízo direto, não devendo este mínimo ser considerado admissível, a não ser em casos muito excecionais.</t>
  </si>
  <si>
    <t>b) Margem e percentagem de cobertura de custos diretos totais</t>
  </si>
  <si>
    <t>A afetação ao projeto de RH financiados por outras fontes deve corresponder a custos que deverão ser igualmente cobertos pelos proveitos do projeto</t>
  </si>
  <si>
    <t>c) Margem e percentagem de cobertura de custos totais</t>
  </si>
  <si>
    <t>A cobertura dos custos diretos e indiretos é indispensável para a sustentabilidade institucional, devendo ser assegurada uma margem adicional de20%, pelo menos, para se atingir um nível satisfatório.</t>
  </si>
  <si>
    <t>Indicação de cumprimento de objetivos</t>
  </si>
  <si>
    <t>Os objetivos a atingir das margens são evidenciados através do sombreado das respetivas células: verde, se a margem for maior ou igual a 20%; vermelho se for negativa; e amarelo no intervalo intermédio.</t>
  </si>
  <si>
    <t>ORÇAMENTO INTERNO DO INESC TEC</t>
  </si>
  <si>
    <t>Conta_Plano</t>
  </si>
  <si>
    <t>Total_Global</t>
  </si>
  <si>
    <t>Total_Ano</t>
  </si>
  <si>
    <t>Orçamento Investimento</t>
  </si>
  <si>
    <t>Investimento amortizado no Projeto</t>
  </si>
  <si>
    <t>GLOBAL (€)</t>
  </si>
  <si>
    <t>1º ANO (€)</t>
  </si>
  <si>
    <t>Total Ano</t>
  </si>
  <si>
    <t>T1</t>
  </si>
  <si>
    <t>T2</t>
  </si>
  <si>
    <t>T3</t>
  </si>
  <si>
    <t>T4</t>
  </si>
  <si>
    <t>INV    TOTAL (€)</t>
  </si>
  <si>
    <t>Orçamento Recursos Humanos e Outros Custos Operacionais</t>
  </si>
  <si>
    <t>R</t>
  </si>
  <si>
    <t>Pessoal INESC TEC</t>
  </si>
  <si>
    <t>Bolsas INESC TEC</t>
  </si>
  <si>
    <t>Complementos Bolsas</t>
  </si>
  <si>
    <t>Complementos Docentes</t>
  </si>
  <si>
    <t>Transf. EC</t>
  </si>
  <si>
    <t>Outras</t>
  </si>
  <si>
    <t>CO    TOTAL (€)</t>
  </si>
  <si>
    <t>Orçamento Proveitos</t>
  </si>
  <si>
    <t>P</t>
  </si>
  <si>
    <t>Vendas e Serviços Prestados</t>
  </si>
  <si>
    <t>P    TOTAL (€)</t>
  </si>
  <si>
    <t>Erro: valor orçamento 1º ano excede valor orçamento global</t>
  </si>
  <si>
    <t>EXPORTAÇÃO PARA O SAP DO ORÇAMENTO DO PROJETO</t>
  </si>
  <si>
    <t>Validação</t>
  </si>
  <si>
    <t xml:space="preserve"> Versão: </t>
  </si>
  <si>
    <t xml:space="preserve">id OI Projeto: </t>
  </si>
  <si>
    <t xml:space="preserve">Ano: </t>
  </si>
  <si>
    <t>Versao</t>
  </si>
  <si>
    <t>Exercicio</t>
  </si>
  <si>
    <t>M1</t>
  </si>
  <si>
    <t>Versão</t>
  </si>
  <si>
    <t>Exercício</t>
  </si>
  <si>
    <t>Conta Plano</t>
  </si>
  <si>
    <t>OI
Emissora</t>
  </si>
  <si>
    <t>OI Receptora</t>
  </si>
  <si>
    <t>M2</t>
  </si>
  <si>
    <t>M3</t>
  </si>
  <si>
    <t>M4</t>
  </si>
  <si>
    <t>M5</t>
  </si>
  <si>
    <t>M6</t>
  </si>
  <si>
    <t>M7</t>
  </si>
  <si>
    <t>M8</t>
  </si>
  <si>
    <t>M9</t>
  </si>
  <si>
    <t>M10</t>
  </si>
  <si>
    <t>M11</t>
  </si>
  <si>
    <t>M12</t>
  </si>
  <si>
    <t>FUNÇÕES POR TIPO DE ATIVIDADE E PERFIL FUNCIONAL</t>
  </si>
  <si>
    <t>Tipo de 
Atividade</t>
  </si>
  <si>
    <t>Perfil Funcional de Referência</t>
  </si>
  <si>
    <t>Direção de Projeto</t>
  </si>
  <si>
    <t>Participação muito especializada com indicação nominativa e margem excecional</t>
  </si>
  <si>
    <t>CUSTOS DE RECURSOS HUMANOS</t>
  </si>
  <si>
    <t>DADOS PARA CÁLCULOS</t>
  </si>
  <si>
    <t>Referência RH</t>
  </si>
  <si>
    <t>Ligação</t>
  </si>
  <si>
    <t>Remun. Referência
(€/mês)</t>
  </si>
  <si>
    <t>Custo Fixo INESC TEC
(€/pxm)</t>
  </si>
  <si>
    <t>Custo Variável INESC TEC (€/pxm)</t>
  </si>
  <si>
    <t>Custo Direto Total
(€/pxm)</t>
  </si>
  <si>
    <t xml:space="preserve"> Afetação Máxima Projetos</t>
  </si>
  <si>
    <t>Parâmetros CB</t>
  </si>
  <si>
    <t>Parâmetros CD</t>
  </si>
  <si>
    <t>Limites Remuneração Perfis Funcionais</t>
  </si>
  <si>
    <t>Propinas</t>
  </si>
  <si>
    <t>Fator Tipo Bolsa</t>
  </si>
  <si>
    <t>Fator Avaliação</t>
  </si>
  <si>
    <t>Índice
CD</t>
  </si>
  <si>
    <t>Min</t>
  </si>
  <si>
    <t>Max</t>
  </si>
  <si>
    <t>F0_Contratado</t>
  </si>
  <si>
    <t>INESCTEC</t>
  </si>
  <si>
    <t>F1_Contratado</t>
  </si>
  <si>
    <t>F2_Contratado</t>
  </si>
  <si>
    <t>F3_Contratado</t>
  </si>
  <si>
    <t>F3A_Contratado</t>
  </si>
  <si>
    <t>F4_Contratado</t>
  </si>
  <si>
    <t>F4A_Contratado</t>
  </si>
  <si>
    <t>F5_Contratado</t>
  </si>
  <si>
    <t>FE1_Contratado</t>
  </si>
  <si>
    <t>FE2_Contratado</t>
  </si>
  <si>
    <t>FE3_Contratado</t>
  </si>
  <si>
    <t>FE4_Contratado</t>
  </si>
  <si>
    <t>FE5_Contratado</t>
  </si>
  <si>
    <t>F0_Docente</t>
  </si>
  <si>
    <t>IES</t>
  </si>
  <si>
    <t>F1_Docente</t>
  </si>
  <si>
    <t>F2_Docente</t>
  </si>
  <si>
    <t>F3_Docente</t>
  </si>
  <si>
    <t>F4_Docente</t>
  </si>
  <si>
    <t>F3_BIPD</t>
  </si>
  <si>
    <t>INESCTEC
OUTRAS</t>
  </si>
  <si>
    <t>F4_BI-M-ED</t>
  </si>
  <si>
    <t>F4_BI-M-CEA</t>
  </si>
  <si>
    <t>F4A_BI-L-EM</t>
  </si>
  <si>
    <t>F5_BII-E</t>
  </si>
  <si>
    <t>PREÇOS DE REFERÊNCIA DE SERVIÇOS DE I&amp;D E CONSULTORIA</t>
  </si>
  <si>
    <t>Preço Mínimo
(€/pxm)</t>
  </si>
  <si>
    <t>Preço Referência
(€/pxm)</t>
  </si>
  <si>
    <t>Preço Máximo
(€/pxm)</t>
  </si>
  <si>
    <t>Responsável Projeto–F0 | Investigador Coordenador-A</t>
  </si>
  <si>
    <t>Responsável Projeto–F1 | Investigador Coordenador</t>
  </si>
  <si>
    <t>Responsável Projeto–F2 | Investigador Principal</t>
  </si>
  <si>
    <t>Responsável Projeto–F3 | Investigador Sénior</t>
  </si>
  <si>
    <t>DADOS ESTRUTURAS E TAXAS DE OH</t>
  </si>
  <si>
    <t>INSTITUIÇÕES ENSINO SUPERIOR</t>
  </si>
  <si>
    <t>INST VINC</t>
  </si>
  <si>
    <t>Centros</t>
  </si>
  <si>
    <t>Custos Estrutura</t>
  </si>
  <si>
    <t>Estrutura Central</t>
  </si>
  <si>
    <t>Designação</t>
  </si>
  <si>
    <t>CD
Taxa OH
IES (%)</t>
  </si>
  <si>
    <t>CD
Taxa OH
CGA/SS (%)</t>
  </si>
  <si>
    <t>Central
(%)</t>
  </si>
  <si>
    <t>Local
(€/pxm)</t>
  </si>
  <si>
    <t>CTM</t>
  </si>
  <si>
    <t>PG01</t>
  </si>
  <si>
    <t>ECC</t>
  </si>
  <si>
    <t>PB03</t>
  </si>
  <si>
    <t>UP-FEUP</t>
  </si>
  <si>
    <t>CAP</t>
  </si>
  <si>
    <t>PG03</t>
  </si>
  <si>
    <t>TEC4AGR</t>
  </si>
  <si>
    <t>PB05</t>
  </si>
  <si>
    <t>UP-FCUP</t>
  </si>
  <si>
    <t>FCT</t>
  </si>
  <si>
    <t>CRAS</t>
  </si>
  <si>
    <t>PG09</t>
  </si>
  <si>
    <t>TEC4ENE</t>
  </si>
  <si>
    <t>UP-FEP</t>
  </si>
  <si>
    <t>CBER</t>
  </si>
  <si>
    <t>PG08</t>
  </si>
  <si>
    <t>TEC4HEA</t>
  </si>
  <si>
    <t>UP-FCNA</t>
  </si>
  <si>
    <t>CPES</t>
  </si>
  <si>
    <t>PG06</t>
  </si>
  <si>
    <t>TEC4IND</t>
  </si>
  <si>
    <t>UP-FBAUP</t>
  </si>
  <si>
    <t>PG05</t>
  </si>
  <si>
    <t>TEC4SEA</t>
  </si>
  <si>
    <t>IPP-ISEP</t>
  </si>
  <si>
    <t>CRIIS</t>
  </si>
  <si>
    <t>PG07</t>
  </si>
  <si>
    <t>TEC4OUTRO</t>
  </si>
  <si>
    <t>IPP-ISCAP</t>
  </si>
  <si>
    <t>CEGI</t>
  </si>
  <si>
    <t>PL03</t>
  </si>
  <si>
    <t>CA</t>
  </si>
  <si>
    <t>PD01</t>
  </si>
  <si>
    <t>IPP-ESTGF</t>
  </si>
  <si>
    <t>CITE</t>
  </si>
  <si>
    <t>PC02</t>
  </si>
  <si>
    <t>AG</t>
  </si>
  <si>
    <t>PA01</t>
  </si>
  <si>
    <t>IPP-ESMAE</t>
  </si>
  <si>
    <t>HUMANISE</t>
  </si>
  <si>
    <t>PC05</t>
  </si>
  <si>
    <t>AJ</t>
  </si>
  <si>
    <t>PA02</t>
  </si>
  <si>
    <t>IPP-ESEIG</t>
  </si>
  <si>
    <t>LIAAD</t>
  </si>
  <si>
    <t>PL01</t>
  </si>
  <si>
    <t>CF</t>
  </si>
  <si>
    <t>PA03</t>
  </si>
  <si>
    <t>UM</t>
  </si>
  <si>
    <t>CRACS</t>
  </si>
  <si>
    <t>PL02</t>
  </si>
  <si>
    <t>CG</t>
  </si>
  <si>
    <t>PA04</t>
  </si>
  <si>
    <t>UTAD</t>
  </si>
  <si>
    <t>HASLAB</t>
  </si>
  <si>
    <t>PL05</t>
  </si>
  <si>
    <t>PA05</t>
  </si>
  <si>
    <t>IPB</t>
  </si>
  <si>
    <t>PE</t>
  </si>
  <si>
    <t>PC01</t>
  </si>
  <si>
    <t>DPO</t>
  </si>
  <si>
    <t>PA06</t>
  </si>
  <si>
    <t>UMa</t>
  </si>
  <si>
    <t>SAAF</t>
  </si>
  <si>
    <t>PS08</t>
  </si>
  <si>
    <t>UAb</t>
  </si>
  <si>
    <t>SAL</t>
  </si>
  <si>
    <t>PS06</t>
  </si>
  <si>
    <t>IPV</t>
  </si>
  <si>
    <t>SRI</t>
  </si>
  <si>
    <t>PS07</t>
  </si>
  <si>
    <t>IPVC</t>
  </si>
  <si>
    <t>SCOM</t>
  </si>
  <si>
    <t>PS03</t>
  </si>
  <si>
    <t>IPLeiria</t>
  </si>
  <si>
    <t>SRC</t>
  </si>
  <si>
    <t>PS01</t>
  </si>
  <si>
    <t>Outra</t>
  </si>
  <si>
    <t>SIG</t>
  </si>
  <si>
    <t>PS04</t>
  </si>
  <si>
    <t>SAS</t>
  </si>
  <si>
    <t>PS09</t>
  </si>
  <si>
    <t>SGI</t>
  </si>
  <si>
    <t>PE02</t>
  </si>
  <si>
    <t>EDIF</t>
  </si>
  <si>
    <t>PE01</t>
  </si>
  <si>
    <t>Notas:</t>
  </si>
  <si>
    <t>Custos de Estrutura Central incluem custos de espaço convertidos em % dos custos operacionais sem subcontratos</t>
  </si>
  <si>
    <t>Custos PE correspondem a custos médios INESC TEC</t>
  </si>
  <si>
    <t>Dados revistos no início de cada ano ou noutras ocasiões no caso de ocorrerem atualização de remunerações</t>
  </si>
  <si>
    <t>PARÂMETROS DE CUSTOS FIXOS DE RH</t>
  </si>
  <si>
    <t>Código Parâmetro</t>
  </si>
  <si>
    <t>Descrição</t>
  </si>
  <si>
    <t>Geral</t>
  </si>
  <si>
    <t>Seg_Saude_Ano</t>
  </si>
  <si>
    <t>Seguro de saúde anual</t>
  </si>
  <si>
    <t>Contratados</t>
  </si>
  <si>
    <t>C_Taxa_Seg_Soc</t>
  </si>
  <si>
    <t>Taxa de Segurança Social</t>
  </si>
  <si>
    <t>C_Dias_Uteis_Subs_Alim_Ano</t>
  </si>
  <si>
    <t>Número dias úteis subsídio alimentação</t>
  </si>
  <si>
    <t>C_Subs_Alim_Dia</t>
  </si>
  <si>
    <t>Subsídio diário de alimentação</t>
  </si>
  <si>
    <t>C_Taxa_Seg_Acid_Trab</t>
  </si>
  <si>
    <t>Índice de cálculo do seguro de acidentes de trabalho</t>
  </si>
  <si>
    <t>Bolseiros</t>
  </si>
  <si>
    <t>B_Seg_Social_Mes</t>
  </si>
  <si>
    <t>Seguro Social Voluntário mensal</t>
  </si>
  <si>
    <t>B_Seg_Acid_Pess_Ano</t>
  </si>
  <si>
    <t>Seguro de acidentes pessoais anual</t>
  </si>
  <si>
    <t>Docentes | Inv Afiliados</t>
  </si>
  <si>
    <t>D_Indice100</t>
  </si>
  <si>
    <t>Índice 100 interno para cálculo de Complementos de Docentes</t>
  </si>
  <si>
    <t>Parâmetros fixados internamente</t>
  </si>
  <si>
    <t>Parâmetros fixados pela legislação laboral</t>
  </si>
  <si>
    <r>
      <t xml:space="preserve">Centro </t>
    </r>
    <r>
      <rPr>
        <b/>
        <sz val="11"/>
        <color indexed="9"/>
        <rFont val="Calibri"/>
        <family val="2"/>
      </rPr>
      <t>→</t>
    </r>
  </si>
  <si>
    <r>
      <t xml:space="preserve">Margem Mínima </t>
    </r>
    <r>
      <rPr>
        <b/>
        <sz val="11"/>
        <color indexed="9"/>
        <rFont val="Calibri"/>
        <family val="2"/>
      </rPr>
      <t>→</t>
    </r>
  </si>
  <si>
    <t>PREÇOS DE SERVIÇOS
(valores por pxm esforço)</t>
  </si>
  <si>
    <t>ANÁLISE DE MARGENS</t>
  </si>
  <si>
    <t>Margem_Ref</t>
  </si>
  <si>
    <t>Custo Indireto Estrutura Central
(€/pxm)</t>
  </si>
  <si>
    <t>Custo Indireto Estrutura Local
(€/pxm)</t>
  </si>
  <si>
    <t>Custo Indireto RH não financiado
(€/pxm)</t>
  </si>
  <si>
    <t>Custo
Total
(€/pxm)</t>
  </si>
  <si>
    <t>Preço 1
Custos Totais + Margem Mínima</t>
  </si>
  <si>
    <t>Preço 2 - Min
Preços Padrão
por PF</t>
  </si>
  <si>
    <t>Preço 2 - Ref
Preços Padrão
por PF</t>
  </si>
  <si>
    <t>Preço 2 - Max
Preços Padrão
por PF</t>
  </si>
  <si>
    <t>Margem</t>
  </si>
  <si>
    <t>Margem - Margem Min</t>
  </si>
  <si>
    <t>Margem sobre Custo Direto
(Preço Med)</t>
  </si>
  <si>
    <t>Degrau Remun. PF</t>
  </si>
  <si>
    <t>Contratados Doutorados</t>
  </si>
  <si>
    <t>Contratados I&amp;D</t>
  </si>
  <si>
    <t>Preço 2 - Min</t>
  </si>
  <si>
    <t>Preço 2 - Ref</t>
  </si>
  <si>
    <t>Preço 2 - Max</t>
  </si>
  <si>
    <t>I1-A</t>
  </si>
  <si>
    <t>I1-B | I2-A</t>
  </si>
  <si>
    <t>I2-B</t>
  </si>
  <si>
    <t>I3-A</t>
  </si>
  <si>
    <t>&gt; 5 anos de experiência: entre 2200€ e 3200€*</t>
  </si>
  <si>
    <t>I3-B</t>
  </si>
  <si>
    <t>3 a 5 anos de experiência: entre 1800€ e os 2200€</t>
  </si>
  <si>
    <t>1 a 3 anos de experiência: entre 1450€ e 1800€</t>
  </si>
  <si>
    <t>s/experiência (grau mestre): 1450€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</si>
</sst>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 #,##0.00\ &quot;€&quot;_-;\-* #,##0.00\ &quot;€&quot;_-;_-* &quot;-&quot;??\ &quot;€&quot;_-;_-@_-"/>
    <numFmt numFmtId="164" formatCode="#,##0.0"/>
    <numFmt numFmtId="165" formatCode="#"/>
    <numFmt numFmtId="166" formatCode="#,###"/>
    <numFmt numFmtId="167" formatCode="#,##0.00;;#"/>
    <numFmt numFmtId="168" formatCode="#,##0;;#"/>
    <numFmt numFmtId="169" formatCode="#,##0.0;;#"/>
    <numFmt numFmtId="170" formatCode="yyyy/mm/dd;;#"/>
    <numFmt numFmtId="171" formatCode="0.0%"/>
    <numFmt numFmtId="172" formatCode="0.0000%"/>
    <numFmt numFmtId="173" formatCode="0.00;;#"/>
    <numFmt numFmtId="174" formatCode="#,##0.000"/>
  </numFmts>
  <fonts count="63">
    <font>
      <sz val="10"/>
      <name val="Arial"/>
    </font>
    <font>
      <sz val="10"/>
      <name val="Arial"/>
      <family val="2"/>
    </font>
    <font>
      <sz val="8"/>
      <name val="Arial"/>
      <family val="2"/>
    </font>
    <font>
      <sz val="10"/>
      <name val="Arial"/>
      <family val="2"/>
    </font>
    <font>
      <b/>
      <sz val="11"/>
      <color indexed="9"/>
      <name val="Arial"/>
      <family val="2"/>
    </font>
    <font>
      <sz val="11"/>
      <name val="Arial"/>
      <family val="2"/>
    </font>
    <font>
      <b/>
      <sz val="14"/>
      <name val="Arial"/>
      <family val="2"/>
    </font>
    <font>
      <b/>
      <sz val="11"/>
      <name val="Arial"/>
      <family val="2"/>
    </font>
    <font>
      <sz val="11"/>
      <color rgb="FFFF0000"/>
      <name val="Arial"/>
      <family val="2"/>
    </font>
    <font>
      <sz val="10"/>
      <color rgb="FFFF0000"/>
      <name val="Arial"/>
      <family val="2"/>
    </font>
    <font>
      <b/>
      <sz val="12"/>
      <name val="Arial"/>
      <family val="2"/>
    </font>
    <font>
      <sz val="12"/>
      <name val="Arial"/>
      <family val="2"/>
    </font>
    <font>
      <sz val="13"/>
      <name val="Arial"/>
      <family val="2"/>
    </font>
    <font>
      <b/>
      <sz val="10"/>
      <name val="Arial"/>
      <family val="2"/>
    </font>
    <font>
      <sz val="11"/>
      <color indexed="10"/>
      <name val="Arial"/>
      <family val="2"/>
    </font>
    <font>
      <b/>
      <i/>
      <sz val="12"/>
      <color indexed="10"/>
      <name val="Arial"/>
      <family val="2"/>
    </font>
    <font>
      <i/>
      <sz val="10"/>
      <color indexed="10"/>
      <name val="Arial"/>
      <family val="2"/>
    </font>
    <font>
      <i/>
      <sz val="11"/>
      <color indexed="10"/>
      <name val="Arial"/>
      <family val="2"/>
    </font>
    <font>
      <i/>
      <u/>
      <sz val="11"/>
      <color indexed="10"/>
      <name val="Arial"/>
      <family val="2"/>
    </font>
    <font>
      <i/>
      <sz val="11"/>
      <name val="Arial"/>
      <family val="2"/>
    </font>
    <font>
      <b/>
      <i/>
      <sz val="10"/>
      <color indexed="10"/>
      <name val="Arial"/>
      <family val="2"/>
    </font>
    <font>
      <sz val="12"/>
      <color rgb="FFFF0000"/>
      <name val="Arial"/>
      <family val="2"/>
    </font>
    <font>
      <i/>
      <sz val="11"/>
      <color rgb="FFFF0000"/>
      <name val="Arial"/>
      <family val="2"/>
    </font>
    <font>
      <i/>
      <sz val="10"/>
      <color rgb="FFFF0000"/>
      <name val="Arial"/>
      <family val="2"/>
    </font>
    <font>
      <b/>
      <i/>
      <sz val="11"/>
      <color rgb="FFFF0000"/>
      <name val="Arial"/>
      <family val="2"/>
    </font>
    <font>
      <sz val="9"/>
      <color indexed="81"/>
      <name val="Tahoma"/>
      <family val="2"/>
    </font>
    <font>
      <sz val="10"/>
      <color theme="1"/>
      <name val="Arial"/>
      <family val="2"/>
    </font>
    <font>
      <b/>
      <sz val="11"/>
      <color rgb="FFFF0000"/>
      <name val="Arial"/>
      <family val="2"/>
    </font>
    <font>
      <sz val="11"/>
      <color theme="1"/>
      <name val="Arial"/>
      <family val="2"/>
    </font>
    <font>
      <sz val="10"/>
      <color rgb="FFFF0000"/>
      <name val="Arial Narrow"/>
      <family val="2"/>
    </font>
    <font>
      <sz val="10"/>
      <name val="Arial Narrow"/>
      <family val="2"/>
    </font>
    <font>
      <sz val="11"/>
      <color rgb="FFFF0000"/>
      <name val="Arial Narrow"/>
      <family val="2"/>
    </font>
    <font>
      <sz val="12"/>
      <color rgb="FFFF0000"/>
      <name val="Arial Narrow"/>
      <family val="2"/>
    </font>
    <font>
      <b/>
      <sz val="11"/>
      <color rgb="FFFF0000"/>
      <name val="Arial Narrow"/>
      <family val="2"/>
    </font>
    <font>
      <sz val="10"/>
      <color rgb="FFFFFFFF"/>
      <name val="Arial Narrow"/>
      <family val="2"/>
    </font>
    <font>
      <b/>
      <sz val="11"/>
      <color indexed="9"/>
      <name val="Calibri"/>
      <family val="2"/>
    </font>
    <font>
      <b/>
      <i/>
      <sz val="12"/>
      <color rgb="FFFF0000"/>
      <name val="Arial"/>
      <family val="2"/>
    </font>
    <font>
      <sz val="10"/>
      <color rgb="FFFFFFFF"/>
      <name val="Arial"/>
      <family val="2"/>
    </font>
    <font>
      <sz val="11"/>
      <color rgb="FFFFFFFF"/>
      <name val="Arial"/>
      <family val="2"/>
    </font>
    <font>
      <b/>
      <sz val="10"/>
      <color rgb="FFFF0000"/>
      <name val="Arial Narrow"/>
      <family val="2"/>
    </font>
    <font>
      <b/>
      <sz val="11"/>
      <name val="Calibri"/>
      <family val="2"/>
    </font>
    <font>
      <b/>
      <i/>
      <sz val="12"/>
      <color rgb="FFFF0000"/>
      <name val="Calibri"/>
      <family val="2"/>
      <scheme val="minor"/>
    </font>
    <font>
      <i/>
      <sz val="10"/>
      <color rgb="FFFFFFFF"/>
      <name val="Arial"/>
      <family val="2"/>
    </font>
    <font>
      <b/>
      <sz val="10"/>
      <color rgb="FFFF0000"/>
      <name val="Arial"/>
      <family val="2"/>
    </font>
    <font>
      <b/>
      <i/>
      <sz val="10"/>
      <color rgb="FFFF0000"/>
      <name val="Arial"/>
      <family val="2"/>
    </font>
    <font>
      <sz val="10"/>
      <color theme="0"/>
      <name val="Arial Narrow"/>
      <family val="2"/>
    </font>
    <font>
      <i/>
      <sz val="10"/>
      <name val="Arial"/>
      <family val="2"/>
    </font>
    <font>
      <b/>
      <i/>
      <sz val="10"/>
      <name val="Arial"/>
      <family val="2"/>
    </font>
    <font>
      <sz val="10"/>
      <color theme="0"/>
      <name val="Arial"/>
      <family val="2"/>
    </font>
    <font>
      <b/>
      <sz val="12"/>
      <name val="Calibri"/>
      <family val="2"/>
    </font>
    <font>
      <sz val="1"/>
      <color theme="0" tint="-0.34998626667073579"/>
      <name val="Arial"/>
      <family val="2"/>
    </font>
    <font>
      <b/>
      <u/>
      <sz val="12"/>
      <name val="Arial"/>
      <family val="2"/>
    </font>
    <font>
      <sz val="12"/>
      <color rgb="FFFF0000"/>
      <name val="Wingdings"/>
      <charset val="2"/>
    </font>
    <font>
      <b/>
      <sz val="14"/>
      <color rgb="FFFFFFFF"/>
      <name val="Arial"/>
      <family val="2"/>
    </font>
    <font>
      <sz val="10"/>
      <color rgb="FF000000"/>
      <name val="Arial"/>
      <family val="2"/>
    </font>
    <font>
      <b/>
      <sz val="10"/>
      <name val="Arial Narrow"/>
      <family val="2"/>
    </font>
    <font>
      <sz val="11"/>
      <color theme="0"/>
      <name val="Arial"/>
      <family val="2"/>
    </font>
    <font>
      <b/>
      <sz val="10"/>
      <color rgb="FFFFFFFF"/>
      <name val="Arial Narrow"/>
      <family val="2"/>
    </font>
    <font>
      <sz val="12"/>
      <color rgb="FFFFFFFF"/>
      <name val="Arial"/>
      <family val="2"/>
    </font>
    <font>
      <b/>
      <sz val="11"/>
      <color rgb="FFFFFFFF"/>
      <name val="Arial"/>
      <family val="2"/>
    </font>
    <font>
      <b/>
      <sz val="10"/>
      <color rgb="FFFFFFFF"/>
      <name val="Arial"/>
      <family val="2"/>
    </font>
    <font>
      <b/>
      <i/>
      <u/>
      <sz val="12"/>
      <color indexed="10"/>
      <name val="Arial"/>
      <family val="2"/>
    </font>
    <font>
      <sz val="10"/>
      <name val="Arial"/>
    </font>
  </fonts>
  <fills count="2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18"/>
        <bgColor indexed="64"/>
      </patternFill>
    </fill>
    <fill>
      <patternFill patternType="solid">
        <fgColor rgb="FFFFCC66"/>
        <bgColor indexed="64"/>
      </patternFill>
    </fill>
    <fill>
      <patternFill patternType="lightGray"/>
    </fill>
    <fill>
      <patternFill patternType="lightGray">
        <bgColor theme="0" tint="-0.14996795556505021"/>
      </patternFill>
    </fill>
    <fill>
      <patternFill patternType="solid">
        <fgColor rgb="FFCCFFFF"/>
        <bgColor indexed="64"/>
      </patternFill>
    </fill>
    <fill>
      <patternFill patternType="solid">
        <fgColor theme="6" tint="0.79998168889431442"/>
        <bgColor indexed="64"/>
      </patternFill>
    </fill>
    <fill>
      <patternFill patternType="lightGray">
        <bgColor theme="0" tint="-4.9989318521683403E-2"/>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F2F2F2"/>
        <bgColor indexed="64"/>
      </patternFill>
    </fill>
    <fill>
      <patternFill patternType="lightGray">
        <bgColor rgb="FFF2F2F2"/>
      </patternFill>
    </fill>
    <fill>
      <patternFill patternType="solid">
        <fgColor rgb="FFFFFFCC"/>
        <bgColor indexed="64"/>
      </patternFill>
    </fill>
    <fill>
      <patternFill patternType="solid">
        <fgColor rgb="FFFF0000"/>
        <bgColor indexed="64"/>
      </patternFill>
    </fill>
    <fill>
      <patternFill patternType="solid">
        <fgColor rgb="FF00FF00"/>
        <bgColor indexed="64"/>
      </patternFill>
    </fill>
  </fills>
  <borders count="8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hair">
        <color indexed="64"/>
      </right>
      <top style="medium">
        <color indexed="64"/>
      </top>
      <bottom style="thin">
        <color indexed="64"/>
      </bottom>
      <diagonal/>
    </border>
    <border>
      <left/>
      <right style="hair">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bottom style="thin">
        <color indexed="64"/>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style="medium">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medium">
        <color indexed="64"/>
      </left>
      <right/>
      <top/>
      <bottom/>
      <diagonal/>
    </border>
    <border>
      <left/>
      <right/>
      <top style="hair">
        <color auto="1"/>
      </top>
      <bottom/>
      <diagonal/>
    </border>
    <border>
      <left/>
      <right/>
      <top/>
      <bottom style="hair">
        <color auto="1"/>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8">
    <xf numFmtId="0" fontId="0" fillId="0" borderId="0"/>
    <xf numFmtId="0" fontId="1" fillId="0" borderId="0"/>
    <xf numFmtId="0" fontId="1" fillId="0" borderId="0"/>
    <xf numFmtId="9" fontId="3" fillId="0" borderId="0" applyFont="0" applyFill="0" applyBorder="0" applyAlignment="0" applyProtection="0"/>
    <xf numFmtId="0" fontId="1" fillId="0" borderId="0"/>
    <xf numFmtId="0" fontId="28" fillId="0" borderId="0"/>
    <xf numFmtId="9" fontId="28" fillId="0" borderId="0" applyFont="0" applyFill="0" applyBorder="0" applyAlignment="0" applyProtection="0"/>
    <xf numFmtId="44" fontId="62" fillId="0" borderId="0" applyFont="0" applyFill="0" applyBorder="0" applyAlignment="0" applyProtection="0"/>
  </cellStyleXfs>
  <cellXfs count="746">
    <xf numFmtId="0" fontId="0" fillId="0" borderId="0" xfId="0"/>
    <xf numFmtId="0" fontId="4" fillId="5" borderId="8" xfId="4" applyFont="1" applyFill="1" applyBorder="1" applyAlignment="1">
      <alignment horizontal="left" vertical="center" indent="2"/>
    </xf>
    <xf numFmtId="0" fontId="5" fillId="0" borderId="0" xfId="4" applyFont="1" applyAlignment="1">
      <alignment vertical="center"/>
    </xf>
    <xf numFmtId="0" fontId="5" fillId="0" borderId="0" xfId="0" applyFont="1" applyAlignment="1">
      <alignment vertical="center"/>
    </xf>
    <xf numFmtId="0" fontId="1" fillId="0" borderId="0" xfId="0" applyFont="1" applyAlignment="1">
      <alignment vertical="center"/>
    </xf>
    <xf numFmtId="3" fontId="5" fillId="0" borderId="0" xfId="0" applyNumberFormat="1" applyFont="1" applyAlignment="1">
      <alignment vertical="center"/>
    </xf>
    <xf numFmtId="0" fontId="5" fillId="2" borderId="0" xfId="0" applyFont="1" applyFill="1" applyAlignment="1">
      <alignment vertical="center"/>
    </xf>
    <xf numFmtId="0" fontId="8" fillId="0" borderId="0" xfId="1" applyFont="1" applyAlignment="1">
      <alignment horizontal="center"/>
    </xf>
    <xf numFmtId="0" fontId="8" fillId="0" borderId="0" xfId="4" applyFont="1"/>
    <xf numFmtId="0" fontId="1" fillId="0" borderId="0" xfId="4" applyAlignment="1">
      <alignment vertical="center" wrapText="1"/>
    </xf>
    <xf numFmtId="0" fontId="14" fillId="0" borderId="0" xfId="0" applyFont="1" applyAlignment="1">
      <alignment horizontal="center" vertical="center"/>
    </xf>
    <xf numFmtId="0" fontId="14" fillId="0" borderId="0" xfId="0" applyFont="1" applyAlignment="1">
      <alignment vertical="center"/>
    </xf>
    <xf numFmtId="0" fontId="15" fillId="0" borderId="0" xfId="0" applyFont="1" applyAlignment="1">
      <alignment horizontal="right" vertical="center"/>
    </xf>
    <xf numFmtId="0" fontId="11" fillId="0" borderId="0" xfId="0" applyFont="1" applyAlignment="1">
      <alignment horizontal="center" vertical="center"/>
    </xf>
    <xf numFmtId="0" fontId="11" fillId="0" borderId="0" xfId="0" applyFont="1" applyAlignment="1">
      <alignment vertical="center"/>
    </xf>
    <xf numFmtId="0" fontId="5" fillId="0" borderId="0" xfId="0" applyFont="1" applyAlignment="1">
      <alignment horizontal="center" vertical="center"/>
    </xf>
    <xf numFmtId="10" fontId="5" fillId="0" borderId="0" xfId="0" applyNumberFormat="1" applyFont="1" applyAlignment="1">
      <alignment vertical="center"/>
    </xf>
    <xf numFmtId="0" fontId="19" fillId="0" borderId="0" xfId="0" applyFont="1" applyAlignment="1">
      <alignment horizontal="left" vertical="top" wrapText="1"/>
    </xf>
    <xf numFmtId="0" fontId="14" fillId="0" borderId="0" xfId="0" applyFont="1" applyAlignment="1">
      <alignment horizontal="left" vertical="top" wrapText="1"/>
    </xf>
    <xf numFmtId="0" fontId="17" fillId="0" borderId="0" xfId="0" applyFont="1" applyAlignment="1">
      <alignment horizontal="left" vertical="top" wrapText="1"/>
    </xf>
    <xf numFmtId="0" fontId="15" fillId="0" borderId="0" xfId="0" applyFont="1" applyAlignment="1">
      <alignment vertical="center"/>
    </xf>
    <xf numFmtId="3" fontId="8" fillId="0" borderId="0" xfId="0" applyNumberFormat="1" applyFont="1" applyAlignment="1">
      <alignment vertical="center"/>
    </xf>
    <xf numFmtId="0" fontId="7" fillId="0" borderId="0" xfId="0" applyFont="1" applyAlignment="1">
      <alignment vertical="center"/>
    </xf>
    <xf numFmtId="0" fontId="5" fillId="0" borderId="0" xfId="0" applyFont="1" applyAlignment="1">
      <alignment horizontal="right" vertical="center" indent="1"/>
    </xf>
    <xf numFmtId="0" fontId="7" fillId="0" borderId="0" xfId="0" applyFont="1" applyAlignment="1">
      <alignment horizontal="right" vertical="center" indent="1"/>
    </xf>
    <xf numFmtId="3" fontId="1" fillId="0" borderId="0" xfId="0" applyNumberFormat="1" applyFont="1" applyAlignment="1">
      <alignment horizontal="right" vertical="center" wrapText="1"/>
    </xf>
    <xf numFmtId="0" fontId="18" fillId="0" borderId="0" xfId="0" applyFont="1" applyAlignment="1">
      <alignment vertical="center" wrapText="1"/>
    </xf>
    <xf numFmtId="0" fontId="18" fillId="0" borderId="0" xfId="0" applyFont="1" applyAlignment="1">
      <alignment horizontal="right" vertical="center" wrapText="1"/>
    </xf>
    <xf numFmtId="0" fontId="7" fillId="0" borderId="0" xfId="0" applyFont="1" applyAlignment="1">
      <alignment horizontal="center" vertical="center"/>
    </xf>
    <xf numFmtId="3" fontId="27" fillId="0" borderId="0" xfId="0" applyNumberFormat="1" applyFont="1" applyAlignment="1">
      <alignment vertical="center"/>
    </xf>
    <xf numFmtId="166" fontId="8" fillId="0" borderId="0" xfId="0" applyNumberFormat="1" applyFont="1" applyAlignment="1">
      <alignment vertical="center"/>
    </xf>
    <xf numFmtId="0" fontId="5" fillId="0" borderId="0" xfId="0" applyFont="1" applyAlignment="1">
      <alignment horizontal="left" vertical="center" indent="1"/>
    </xf>
    <xf numFmtId="0" fontId="7" fillId="2" borderId="0" xfId="0" applyFont="1" applyFill="1" applyAlignment="1">
      <alignment horizontal="center" vertical="center"/>
    </xf>
    <xf numFmtId="166" fontId="5" fillId="0" borderId="0" xfId="0" applyNumberFormat="1" applyFont="1" applyAlignment="1">
      <alignment vertical="center"/>
    </xf>
    <xf numFmtId="0" fontId="17" fillId="0" borderId="0" xfId="0" applyFont="1" applyAlignment="1">
      <alignment horizontal="left" vertical="center" indent="1"/>
    </xf>
    <xf numFmtId="9" fontId="5" fillId="4" borderId="1" xfId="0" applyNumberFormat="1" applyFont="1" applyFill="1" applyBorder="1" applyAlignment="1">
      <alignment horizontal="right" vertical="center" wrapText="1" indent="1"/>
    </xf>
    <xf numFmtId="166" fontId="5" fillId="4" borderId="1" xfId="0" applyNumberFormat="1" applyFont="1" applyFill="1" applyBorder="1" applyAlignment="1">
      <alignment horizontal="right" vertical="center" wrapText="1" indent="1"/>
    </xf>
    <xf numFmtId="167" fontId="5" fillId="4" borderId="1" xfId="0" applyNumberFormat="1" applyFont="1" applyFill="1" applyBorder="1" applyAlignment="1">
      <alignment horizontal="right" vertical="center" wrapText="1" indent="2"/>
    </xf>
    <xf numFmtId="166" fontId="7" fillId="2" borderId="0" xfId="0" applyNumberFormat="1" applyFont="1" applyFill="1" applyAlignment="1">
      <alignment horizontal="center" vertical="center" wrapText="1"/>
    </xf>
    <xf numFmtId="166" fontId="13" fillId="4" borderId="1" xfId="0" applyNumberFormat="1" applyFont="1" applyFill="1" applyBorder="1" applyAlignment="1">
      <alignment horizontal="right" vertical="center" indent="1"/>
    </xf>
    <xf numFmtId="166" fontId="1" fillId="4" borderId="1" xfId="0" applyNumberFormat="1" applyFont="1" applyFill="1" applyBorder="1" applyAlignment="1">
      <alignment horizontal="right" vertical="center" indent="1"/>
    </xf>
    <xf numFmtId="166" fontId="7" fillId="3" borderId="1" xfId="0" applyNumberFormat="1" applyFont="1" applyFill="1" applyBorder="1" applyAlignment="1">
      <alignment horizontal="right" vertical="center" wrapText="1" indent="1"/>
    </xf>
    <xf numFmtId="3" fontId="11" fillId="0" borderId="0" xfId="0" applyNumberFormat="1" applyFont="1" applyAlignment="1">
      <alignment vertical="center"/>
    </xf>
    <xf numFmtId="3" fontId="1" fillId="0" borderId="0" xfId="0" applyNumberFormat="1" applyFont="1" applyAlignment="1">
      <alignment horizontal="center" vertical="center"/>
    </xf>
    <xf numFmtId="3" fontId="5" fillId="0" borderId="0" xfId="0" applyNumberFormat="1" applyFont="1" applyAlignment="1">
      <alignment horizontal="center" vertical="center"/>
    </xf>
    <xf numFmtId="0" fontId="8" fillId="0" borderId="0" xfId="4" applyFont="1" applyAlignment="1">
      <alignment vertical="center"/>
    </xf>
    <xf numFmtId="165" fontId="29" fillId="0" borderId="0" xfId="0" applyNumberFormat="1" applyFont="1" applyAlignment="1">
      <alignment horizontal="center" vertical="center"/>
    </xf>
    <xf numFmtId="0" fontId="22" fillId="0" borderId="0" xfId="0" applyFont="1" applyAlignment="1">
      <alignment horizontal="left" vertical="center" indent="1"/>
    </xf>
    <xf numFmtId="0" fontId="8" fillId="0" borderId="0" xfId="0" applyFont="1" applyAlignment="1">
      <alignment vertical="center"/>
    </xf>
    <xf numFmtId="0" fontId="21" fillId="0" borderId="0" xfId="0" applyFont="1" applyAlignment="1">
      <alignment vertical="center"/>
    </xf>
    <xf numFmtId="3" fontId="8" fillId="0" borderId="0" xfId="0" applyNumberFormat="1" applyFont="1" applyAlignment="1">
      <alignment horizontal="center" vertical="center"/>
    </xf>
    <xf numFmtId="0" fontId="27" fillId="0" borderId="0" xfId="0" applyFont="1" applyAlignment="1">
      <alignment vertical="center"/>
    </xf>
    <xf numFmtId="0" fontId="31" fillId="0" borderId="0" xfId="0" applyFont="1" applyAlignment="1">
      <alignment horizontal="center" vertical="center"/>
    </xf>
    <xf numFmtId="0" fontId="32" fillId="0" borderId="0" xfId="0" applyFont="1" applyAlignment="1">
      <alignment horizontal="center" vertical="center"/>
    </xf>
    <xf numFmtId="0" fontId="33" fillId="0" borderId="0" xfId="0" applyFont="1" applyAlignment="1">
      <alignment horizontal="center" vertical="center"/>
    </xf>
    <xf numFmtId="0" fontId="29" fillId="0" borderId="0" xfId="0" applyFont="1" applyAlignment="1">
      <alignment horizontal="center" vertical="center"/>
    </xf>
    <xf numFmtId="0" fontId="1" fillId="0" borderId="0" xfId="0" applyFont="1"/>
    <xf numFmtId="0" fontId="1" fillId="0" borderId="0" xfId="4"/>
    <xf numFmtId="0" fontId="1" fillId="4" borderId="1" xfId="4" applyFill="1" applyBorder="1" applyAlignment="1">
      <alignment horizontal="left" vertical="center" indent="1"/>
    </xf>
    <xf numFmtId="165" fontId="0" fillId="0" borderId="0" xfId="0" applyNumberFormat="1"/>
    <xf numFmtId="168" fontId="0" fillId="0" borderId="0" xfId="0" applyNumberFormat="1"/>
    <xf numFmtId="0" fontId="30" fillId="0" borderId="0" xfId="0" applyFont="1" applyAlignment="1">
      <alignment horizontal="center"/>
    </xf>
    <xf numFmtId="165" fontId="30" fillId="0" borderId="0" xfId="0" applyNumberFormat="1" applyFont="1" applyAlignment="1">
      <alignment horizontal="center"/>
    </xf>
    <xf numFmtId="0" fontId="9" fillId="0" borderId="0" xfId="0" applyFont="1"/>
    <xf numFmtId="0" fontId="1" fillId="4" borderId="1" xfId="0" applyFont="1" applyFill="1" applyBorder="1" applyAlignment="1">
      <alignment horizontal="center" vertical="center"/>
    </xf>
    <xf numFmtId="0" fontId="0" fillId="0" borderId="0" xfId="0" applyAlignment="1">
      <alignment horizontal="left" indent="2"/>
    </xf>
    <xf numFmtId="4" fontId="7" fillId="3" borderId="1" xfId="0" applyNumberFormat="1" applyFont="1" applyFill="1" applyBorder="1" applyAlignment="1">
      <alignment horizontal="right" vertical="center" indent="2"/>
    </xf>
    <xf numFmtId="165" fontId="4" fillId="5" borderId="6" xfId="4" applyNumberFormat="1" applyFont="1" applyFill="1" applyBorder="1" applyAlignment="1">
      <alignment horizontal="center" vertical="center"/>
    </xf>
    <xf numFmtId="0" fontId="4" fillId="5" borderId="6" xfId="4" applyFont="1" applyFill="1" applyBorder="1" applyAlignment="1">
      <alignment horizontal="center" vertical="center"/>
    </xf>
    <xf numFmtId="0" fontId="12" fillId="0" borderId="0" xfId="0" applyFont="1" applyAlignment="1">
      <alignment horizontal="left" vertical="center"/>
    </xf>
    <xf numFmtId="0" fontId="5" fillId="0" borderId="0" xfId="0" applyFont="1" applyAlignment="1">
      <alignment horizontal="left" vertical="center" wrapText="1"/>
    </xf>
    <xf numFmtId="0" fontId="23" fillId="0" borderId="0" xfId="0" applyFont="1" applyAlignment="1">
      <alignment horizontal="left" indent="1"/>
    </xf>
    <xf numFmtId="0" fontId="1" fillId="0" borderId="0" xfId="4" applyAlignment="1">
      <alignment horizontal="center" vertical="center" wrapText="1"/>
    </xf>
    <xf numFmtId="166" fontId="1" fillId="4" borderId="1" xfId="1" applyNumberFormat="1" applyFill="1" applyBorder="1" applyAlignment="1">
      <alignment horizontal="center" vertical="center"/>
    </xf>
    <xf numFmtId="166" fontId="1" fillId="4" borderId="1" xfId="1" applyNumberFormat="1" applyFill="1" applyBorder="1" applyAlignment="1">
      <alignment horizontal="right" vertical="center" indent="1"/>
    </xf>
    <xf numFmtId="166" fontId="1" fillId="7" borderId="1" xfId="1" applyNumberFormat="1" applyFill="1" applyBorder="1" applyAlignment="1">
      <alignment horizontal="center" vertical="center"/>
    </xf>
    <xf numFmtId="0" fontId="9" fillId="0" borderId="0" xfId="4" applyFont="1"/>
    <xf numFmtId="0" fontId="10" fillId="0" borderId="0" xfId="0" applyFont="1" applyAlignment="1">
      <alignment horizontal="right" vertical="center"/>
    </xf>
    <xf numFmtId="0" fontId="34" fillId="0" borderId="0" xfId="0" applyFont="1" applyAlignment="1">
      <alignment horizontal="center" vertical="center"/>
    </xf>
    <xf numFmtId="167" fontId="5" fillId="4" borderId="1" xfId="0" applyNumberFormat="1" applyFont="1" applyFill="1" applyBorder="1" applyAlignment="1">
      <alignment horizontal="right" vertical="center" indent="2"/>
    </xf>
    <xf numFmtId="166" fontId="5" fillId="4" borderId="1" xfId="0" applyNumberFormat="1" applyFont="1" applyFill="1" applyBorder="1" applyAlignment="1">
      <alignment horizontal="right" vertical="center" indent="2"/>
    </xf>
    <xf numFmtId="0" fontId="1" fillId="0" borderId="0" xfId="0" applyFont="1" applyAlignment="1">
      <alignment horizontal="left" vertical="center" indent="1"/>
    </xf>
    <xf numFmtId="49" fontId="23" fillId="0" borderId="0" xfId="0" applyNumberFormat="1" applyFont="1" applyAlignment="1">
      <alignment horizontal="left" vertical="center" indent="1"/>
    </xf>
    <xf numFmtId="0" fontId="6" fillId="0" borderId="0" xfId="0" applyFont="1" applyAlignment="1">
      <alignment vertical="center" wrapText="1"/>
    </xf>
    <xf numFmtId="0" fontId="8" fillId="0" borderId="0" xfId="0" applyFont="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24" fillId="0" borderId="0" xfId="0" applyFont="1" applyAlignment="1">
      <alignment horizontal="left" vertical="center" indent="1"/>
    </xf>
    <xf numFmtId="0" fontId="21" fillId="0" borderId="0" xfId="0" applyFont="1" applyAlignment="1">
      <alignment horizontal="center" vertical="center"/>
    </xf>
    <xf numFmtId="0" fontId="22" fillId="0" borderId="0" xfId="0" applyFont="1" applyAlignment="1">
      <alignment horizontal="center" vertical="top" wrapText="1"/>
    </xf>
    <xf numFmtId="0" fontId="8" fillId="0" borderId="0" xfId="0" applyFont="1" applyAlignment="1">
      <alignment horizontal="center" vertical="top" wrapText="1"/>
    </xf>
    <xf numFmtId="0" fontId="5" fillId="0" borderId="0" xfId="0" applyFont="1" applyAlignment="1">
      <alignment vertical="center" wrapText="1"/>
    </xf>
    <xf numFmtId="0" fontId="1" fillId="0" borderId="0" xfId="4" applyAlignment="1">
      <alignment horizontal="center"/>
    </xf>
    <xf numFmtId="0" fontId="4" fillId="5" borderId="3" xfId="4" applyFont="1" applyFill="1" applyBorder="1" applyAlignment="1">
      <alignment horizontal="left" vertical="center" indent="2"/>
    </xf>
    <xf numFmtId="0" fontId="7" fillId="0" borderId="0" xfId="0" applyFont="1" applyAlignment="1">
      <alignment horizontal="right" vertical="center" wrapText="1" indent="1"/>
    </xf>
    <xf numFmtId="0" fontId="1" fillId="0" borderId="0" xfId="4" applyAlignment="1">
      <alignment vertical="center"/>
    </xf>
    <xf numFmtId="0" fontId="0" fillId="0" borderId="0" xfId="0" applyAlignment="1">
      <alignment horizontal="left" indent="1"/>
    </xf>
    <xf numFmtId="166" fontId="5" fillId="4" borderId="1" xfId="0" applyNumberFormat="1" applyFont="1" applyFill="1" applyBorder="1" applyAlignment="1">
      <alignment horizontal="right" vertical="center" wrapText="1" indent="2"/>
    </xf>
    <xf numFmtId="3" fontId="7" fillId="8" borderId="1" xfId="0" applyNumberFormat="1" applyFont="1" applyFill="1" applyBorder="1" applyAlignment="1">
      <alignment horizontal="right" vertical="center" indent="2"/>
    </xf>
    <xf numFmtId="3" fontId="0" fillId="0" borderId="0" xfId="0" applyNumberFormat="1" applyAlignment="1">
      <alignment vertical="center"/>
    </xf>
    <xf numFmtId="3" fontId="0" fillId="0" borderId="0" xfId="0" applyNumberFormat="1"/>
    <xf numFmtId="3" fontId="1" fillId="0" borderId="0" xfId="0" applyNumberFormat="1" applyFont="1" applyAlignment="1">
      <alignment vertical="center"/>
    </xf>
    <xf numFmtId="166" fontId="22" fillId="0" borderId="0" xfId="0" applyNumberFormat="1" applyFont="1" applyAlignment="1">
      <alignment vertical="center"/>
    </xf>
    <xf numFmtId="0" fontId="30" fillId="0" borderId="0" xfId="4" applyFont="1"/>
    <xf numFmtId="3" fontId="5" fillId="9" borderId="1" xfId="0" applyNumberFormat="1" applyFont="1" applyFill="1" applyBorder="1" applyAlignment="1" applyProtection="1">
      <alignment horizontal="right" vertical="center" wrapText="1" indent="1"/>
      <protection locked="0"/>
    </xf>
    <xf numFmtId="166" fontId="1" fillId="11" borderId="1" xfId="1" applyNumberFormat="1" applyFill="1" applyBorder="1" applyAlignment="1">
      <alignment horizontal="right" vertical="center" indent="1"/>
    </xf>
    <xf numFmtId="3" fontId="5" fillId="0" borderId="0" xfId="0" applyNumberFormat="1" applyFont="1" applyAlignment="1">
      <alignment vertical="center" wrapText="1"/>
    </xf>
    <xf numFmtId="0" fontId="1" fillId="4" borderId="12" xfId="4" applyFill="1" applyBorder="1" applyAlignment="1">
      <alignment horizontal="left" vertical="center" indent="1"/>
    </xf>
    <xf numFmtId="0" fontId="1" fillId="4" borderId="16" xfId="4" applyFill="1" applyBorder="1" applyAlignment="1">
      <alignment horizontal="left" vertical="center" indent="1"/>
    </xf>
    <xf numFmtId="0" fontId="1" fillId="4" borderId="13" xfId="4" applyFill="1" applyBorder="1" applyAlignment="1">
      <alignment horizontal="left" vertical="center" indent="1"/>
    </xf>
    <xf numFmtId="0" fontId="13" fillId="6" borderId="24" xfId="0" applyFont="1" applyFill="1" applyBorder="1" applyAlignment="1">
      <alignment horizontal="center" vertical="center" wrapText="1"/>
    </xf>
    <xf numFmtId="0" fontId="13" fillId="6" borderId="25" xfId="0" applyFont="1" applyFill="1" applyBorder="1" applyAlignment="1">
      <alignment horizontal="center" vertical="center" wrapText="1"/>
    </xf>
    <xf numFmtId="0" fontId="1" fillId="4" borderId="21" xfId="0" applyFont="1" applyFill="1" applyBorder="1" applyAlignment="1">
      <alignment horizontal="center" vertical="center"/>
    </xf>
    <xf numFmtId="0" fontId="1" fillId="4" borderId="24" xfId="0" applyFont="1" applyFill="1" applyBorder="1" applyAlignment="1">
      <alignment horizontal="center" vertical="center"/>
    </xf>
    <xf numFmtId="0" fontId="13" fillId="6" borderId="37" xfId="0" applyFont="1" applyFill="1" applyBorder="1" applyAlignment="1">
      <alignment horizontal="center" vertical="center" wrapText="1"/>
    </xf>
    <xf numFmtId="0" fontId="13" fillId="6" borderId="38" xfId="0" applyFont="1" applyFill="1" applyBorder="1" applyAlignment="1">
      <alignment horizontal="center" vertical="center" wrapText="1"/>
    </xf>
    <xf numFmtId="0" fontId="13" fillId="6" borderId="39" xfId="0" applyFont="1" applyFill="1" applyBorder="1" applyAlignment="1">
      <alignment horizontal="center" vertical="center" wrapText="1"/>
    </xf>
    <xf numFmtId="166" fontId="1" fillId="4" borderId="21" xfId="1" applyNumberFormat="1" applyFill="1" applyBorder="1" applyAlignment="1">
      <alignment horizontal="center" vertical="center"/>
    </xf>
    <xf numFmtId="166" fontId="1" fillId="4" borderId="21" xfId="1" applyNumberFormat="1" applyFill="1" applyBorder="1" applyAlignment="1">
      <alignment horizontal="right" vertical="center" indent="1"/>
    </xf>
    <xf numFmtId="166" fontId="1" fillId="11" borderId="21" xfId="1" applyNumberFormat="1" applyFill="1" applyBorder="1" applyAlignment="1">
      <alignment horizontal="right" vertical="center" indent="1"/>
    </xf>
    <xf numFmtId="166" fontId="1" fillId="4" borderId="24" xfId="1" applyNumberFormat="1" applyFill="1" applyBorder="1" applyAlignment="1">
      <alignment horizontal="center" vertical="center"/>
    </xf>
    <xf numFmtId="166" fontId="1" fillId="4" borderId="24" xfId="1" applyNumberFormat="1" applyFill="1" applyBorder="1" applyAlignment="1">
      <alignment horizontal="right" vertical="center" indent="1"/>
    </xf>
    <xf numFmtId="166" fontId="1" fillId="11" borderId="24" xfId="1" applyNumberFormat="1" applyFill="1" applyBorder="1" applyAlignment="1">
      <alignment horizontal="right" vertical="center" indent="1"/>
    </xf>
    <xf numFmtId="166" fontId="1" fillId="7" borderId="21" xfId="1" applyNumberFormat="1" applyFill="1" applyBorder="1" applyAlignment="1">
      <alignment horizontal="center" vertical="center"/>
    </xf>
    <xf numFmtId="166" fontId="1" fillId="7" borderId="24" xfId="1" applyNumberFormat="1" applyFill="1" applyBorder="1" applyAlignment="1">
      <alignment horizontal="center" vertical="center"/>
    </xf>
    <xf numFmtId="166" fontId="30" fillId="4" borderId="21" xfId="1" applyNumberFormat="1" applyFont="1" applyFill="1" applyBorder="1" applyAlignment="1">
      <alignment horizontal="center" vertical="center"/>
    </xf>
    <xf numFmtId="166" fontId="30" fillId="4" borderId="1" xfId="1" applyNumberFormat="1" applyFont="1" applyFill="1" applyBorder="1" applyAlignment="1">
      <alignment horizontal="center" vertical="center"/>
    </xf>
    <xf numFmtId="166" fontId="30" fillId="4" borderId="24" xfId="1" applyNumberFormat="1" applyFont="1" applyFill="1" applyBorder="1" applyAlignment="1">
      <alignment horizontal="center" vertical="center"/>
    </xf>
    <xf numFmtId="173" fontId="4" fillId="5" borderId="0" xfId="4" applyNumberFormat="1" applyFont="1" applyFill="1" applyAlignment="1">
      <alignment horizontal="center" vertical="center"/>
    </xf>
    <xf numFmtId="0" fontId="31" fillId="0" borderId="0" xfId="1" applyFont="1" applyAlignment="1">
      <alignment horizontal="center"/>
    </xf>
    <xf numFmtId="173" fontId="31" fillId="0" borderId="0" xfId="1" applyNumberFormat="1" applyFont="1" applyAlignment="1">
      <alignment horizontal="center"/>
    </xf>
    <xf numFmtId="166" fontId="30" fillId="0" borderId="0" xfId="4" applyNumberFormat="1" applyFont="1"/>
    <xf numFmtId="166" fontId="1" fillId="7" borderId="21" xfId="4" applyNumberFormat="1" applyFill="1" applyBorder="1" applyAlignment="1">
      <alignment horizontal="right" vertical="center" indent="1"/>
    </xf>
    <xf numFmtId="1" fontId="1" fillId="7" borderId="22" xfId="4" applyNumberFormat="1" applyFill="1" applyBorder="1" applyAlignment="1">
      <alignment horizontal="right" vertical="center" indent="1"/>
    </xf>
    <xf numFmtId="166" fontId="1" fillId="7" borderId="1" xfId="4" applyNumberFormat="1" applyFill="1" applyBorder="1" applyAlignment="1">
      <alignment horizontal="right" vertical="center" indent="1"/>
    </xf>
    <xf numFmtId="1" fontId="1" fillId="7" borderId="30" xfId="4" applyNumberFormat="1" applyFill="1" applyBorder="1" applyAlignment="1">
      <alignment horizontal="right" vertical="center" indent="1"/>
    </xf>
    <xf numFmtId="166" fontId="1" fillId="7" borderId="24" xfId="4" applyNumberFormat="1" applyFill="1" applyBorder="1" applyAlignment="1">
      <alignment horizontal="right" vertical="center" indent="1"/>
    </xf>
    <xf numFmtId="1" fontId="1" fillId="7" borderId="25" xfId="4" applyNumberFormat="1" applyFill="1" applyBorder="1" applyAlignment="1">
      <alignment horizontal="right" vertical="center" indent="1"/>
    </xf>
    <xf numFmtId="9" fontId="1" fillId="4" borderId="20" xfId="6" applyFont="1" applyFill="1" applyBorder="1" applyAlignment="1">
      <alignment horizontal="right" vertical="center" indent="1"/>
    </xf>
    <xf numFmtId="9" fontId="1" fillId="4" borderId="42" xfId="6" applyFont="1" applyFill="1" applyBorder="1" applyAlignment="1">
      <alignment horizontal="right" vertical="center" indent="1"/>
    </xf>
    <xf numFmtId="9" fontId="1" fillId="4" borderId="23" xfId="6" applyFont="1" applyFill="1" applyBorder="1" applyAlignment="1">
      <alignment horizontal="right" vertical="center" indent="1"/>
    </xf>
    <xf numFmtId="9" fontId="1" fillId="4" borderId="21" xfId="6" applyFont="1" applyFill="1" applyBorder="1" applyAlignment="1">
      <alignment horizontal="right" vertical="center" indent="1"/>
    </xf>
    <xf numFmtId="9" fontId="1" fillId="4" borderId="1" xfId="6" applyFont="1" applyFill="1" applyBorder="1" applyAlignment="1">
      <alignment horizontal="right" vertical="center" indent="1"/>
    </xf>
    <xf numFmtId="9" fontId="1" fillId="4" borderId="24" xfId="6" applyFont="1" applyFill="1" applyBorder="1" applyAlignment="1">
      <alignment horizontal="right" vertical="center" indent="1"/>
    </xf>
    <xf numFmtId="1" fontId="1" fillId="4" borderId="22" xfId="4" applyNumberFormat="1" applyFill="1" applyBorder="1" applyAlignment="1">
      <alignment horizontal="right" vertical="center" indent="1"/>
    </xf>
    <xf numFmtId="1" fontId="1" fillId="4" borderId="30" xfId="4" applyNumberFormat="1" applyFill="1" applyBorder="1" applyAlignment="1">
      <alignment horizontal="right" vertical="center" indent="1"/>
    </xf>
    <xf numFmtId="1" fontId="1" fillId="4" borderId="25" xfId="4" applyNumberFormat="1" applyFill="1" applyBorder="1" applyAlignment="1">
      <alignment horizontal="right" vertical="center" indent="1"/>
    </xf>
    <xf numFmtId="0" fontId="5" fillId="0" borderId="0" xfId="1" applyFont="1" applyAlignment="1">
      <alignment vertical="center"/>
    </xf>
    <xf numFmtId="0" fontId="1" fillId="0" borderId="0" xfId="1" applyAlignment="1">
      <alignment vertical="center" wrapText="1"/>
    </xf>
    <xf numFmtId="0" fontId="1" fillId="0" borderId="0" xfId="1" applyAlignment="1">
      <alignment vertical="center"/>
    </xf>
    <xf numFmtId="166" fontId="1" fillId="0" borderId="0" xfId="1" applyNumberFormat="1" applyAlignment="1">
      <alignment horizontal="center" vertical="center" wrapText="1"/>
    </xf>
    <xf numFmtId="4" fontId="1" fillId="0" borderId="0" xfId="4" applyNumberFormat="1" applyAlignment="1">
      <alignment vertical="center"/>
    </xf>
    <xf numFmtId="3" fontId="9" fillId="0" borderId="0" xfId="1" applyNumberFormat="1" applyFont="1" applyAlignment="1">
      <alignment horizontal="left" vertical="center" indent="1"/>
    </xf>
    <xf numFmtId="0" fontId="1" fillId="0" borderId="0" xfId="1" applyAlignment="1">
      <alignment horizontal="center" vertical="center"/>
    </xf>
    <xf numFmtId="0" fontId="1" fillId="0" borderId="0" xfId="1" applyAlignment="1">
      <alignment horizontal="left" vertical="center" indent="1"/>
    </xf>
    <xf numFmtId="166" fontId="1" fillId="0" borderId="0" xfId="4" applyNumberFormat="1" applyAlignment="1">
      <alignment horizontal="right" vertical="center" wrapText="1" indent="1"/>
    </xf>
    <xf numFmtId="0" fontId="13" fillId="6" borderId="34" xfId="0" applyFont="1" applyFill="1" applyBorder="1" applyAlignment="1">
      <alignment horizontal="center" vertical="center" wrapText="1"/>
    </xf>
    <xf numFmtId="0" fontId="1" fillId="4" borderId="20" xfId="4" applyFill="1" applyBorder="1" applyAlignment="1">
      <alignment horizontal="right" vertical="center" wrapText="1" indent="1"/>
    </xf>
    <xf numFmtId="3" fontId="1" fillId="4" borderId="22" xfId="4" applyNumberFormat="1" applyFill="1" applyBorder="1" applyAlignment="1">
      <alignment horizontal="left" vertical="center" wrapText="1" indent="1"/>
    </xf>
    <xf numFmtId="3" fontId="1" fillId="4" borderId="30" xfId="4" applyNumberFormat="1" applyFill="1" applyBorder="1" applyAlignment="1">
      <alignment horizontal="left" vertical="center" wrapText="1" indent="1"/>
    </xf>
    <xf numFmtId="3" fontId="1" fillId="4" borderId="25" xfId="4" applyNumberFormat="1" applyFill="1" applyBorder="1" applyAlignment="1">
      <alignment horizontal="left" vertical="center" wrapText="1" indent="1"/>
    </xf>
    <xf numFmtId="0" fontId="1" fillId="4" borderId="21" xfId="4" applyFill="1" applyBorder="1" applyAlignment="1">
      <alignment horizontal="left" vertical="center" indent="1"/>
    </xf>
    <xf numFmtId="0" fontId="1" fillId="4" borderId="24" xfId="4" applyFill="1" applyBorder="1" applyAlignment="1">
      <alignment horizontal="left" vertical="center" indent="1"/>
    </xf>
    <xf numFmtId="166" fontId="1" fillId="4" borderId="22" xfId="1" applyNumberFormat="1" applyFill="1" applyBorder="1" applyAlignment="1">
      <alignment horizontal="right" vertical="center" indent="1"/>
    </xf>
    <xf numFmtId="166" fontId="1" fillId="4" borderId="30" xfId="1" applyNumberFormat="1" applyFill="1" applyBorder="1" applyAlignment="1">
      <alignment horizontal="right" vertical="center" indent="1"/>
    </xf>
    <xf numFmtId="166" fontId="1" fillId="4" borderId="25" xfId="1" applyNumberFormat="1" applyFill="1" applyBorder="1" applyAlignment="1">
      <alignment horizontal="right" vertical="center" indent="1"/>
    </xf>
    <xf numFmtId="166" fontId="1" fillId="4" borderId="20" xfId="1" applyNumberFormat="1" applyFill="1" applyBorder="1" applyAlignment="1">
      <alignment horizontal="center" vertical="center"/>
    </xf>
    <xf numFmtId="166" fontId="1" fillId="4" borderId="42" xfId="1" applyNumberFormat="1" applyFill="1" applyBorder="1" applyAlignment="1">
      <alignment horizontal="center" vertical="center"/>
    </xf>
    <xf numFmtId="166" fontId="1" fillId="4" borderId="23" xfId="1" applyNumberFormat="1" applyFill="1" applyBorder="1" applyAlignment="1">
      <alignment horizontal="center" vertical="center"/>
    </xf>
    <xf numFmtId="166" fontId="30" fillId="4" borderId="42" xfId="1" applyNumberFormat="1" applyFont="1" applyFill="1" applyBorder="1" applyAlignment="1">
      <alignment horizontal="center" vertical="center"/>
    </xf>
    <xf numFmtId="166" fontId="30" fillId="4" borderId="23" xfId="1" applyNumberFormat="1" applyFont="1" applyFill="1" applyBorder="1" applyAlignment="1">
      <alignment horizontal="center" vertical="center"/>
    </xf>
    <xf numFmtId="166" fontId="1" fillId="4" borderId="28" xfId="1" applyNumberFormat="1" applyFill="1" applyBorder="1" applyAlignment="1">
      <alignment horizontal="right" vertical="center" indent="1"/>
    </xf>
    <xf numFmtId="166" fontId="1" fillId="4" borderId="7" xfId="1" applyNumberFormat="1" applyFill="1" applyBorder="1" applyAlignment="1">
      <alignment horizontal="right" vertical="center" indent="1"/>
    </xf>
    <xf numFmtId="166" fontId="1" fillId="4" borderId="33" xfId="1" applyNumberFormat="1" applyFill="1" applyBorder="1" applyAlignment="1">
      <alignment horizontal="right" vertical="center" indent="1"/>
    </xf>
    <xf numFmtId="0" fontId="13" fillId="0" borderId="0" xfId="4" applyFont="1" applyAlignment="1">
      <alignment horizontal="left" indent="1"/>
    </xf>
    <xf numFmtId="0" fontId="1" fillId="4" borderId="47" xfId="4" applyFill="1" applyBorder="1" applyAlignment="1">
      <alignment horizontal="left" vertical="center" indent="1"/>
    </xf>
    <xf numFmtId="0" fontId="5" fillId="0" borderId="0" xfId="0" applyFont="1" applyAlignment="1">
      <alignment horizontal="center" vertical="center" wrapText="1"/>
    </xf>
    <xf numFmtId="4" fontId="5" fillId="0" borderId="0" xfId="0" applyNumberFormat="1" applyFont="1" applyAlignment="1">
      <alignment horizontal="center" vertical="center" wrapText="1"/>
    </xf>
    <xf numFmtId="168" fontId="5" fillId="0" borderId="0" xfId="0" applyNumberFormat="1" applyFont="1" applyAlignment="1">
      <alignment horizontal="center" vertical="center" wrapText="1"/>
    </xf>
    <xf numFmtId="168" fontId="7" fillId="0" borderId="0" xfId="0" applyNumberFormat="1" applyFont="1" applyAlignment="1">
      <alignment horizontal="center" vertical="center" wrapText="1"/>
    </xf>
    <xf numFmtId="167" fontId="5" fillId="0" borderId="0" xfId="0" applyNumberFormat="1" applyFont="1" applyAlignment="1">
      <alignment horizontal="center" vertical="center" wrapText="1"/>
    </xf>
    <xf numFmtId="0" fontId="1" fillId="0" borderId="0" xfId="0" applyFont="1" applyAlignment="1">
      <alignment horizontal="center" vertical="center"/>
    </xf>
    <xf numFmtId="0" fontId="7" fillId="0" borderId="48" xfId="0" applyFont="1" applyBorder="1" applyAlignment="1">
      <alignment horizontal="center" vertical="center" wrapText="1"/>
    </xf>
    <xf numFmtId="168" fontId="7" fillId="0" borderId="48" xfId="0" applyNumberFormat="1" applyFont="1" applyBorder="1" applyAlignment="1">
      <alignment horizontal="center" vertical="center"/>
    </xf>
    <xf numFmtId="0" fontId="1" fillId="4" borderId="20" xfId="4" applyFill="1" applyBorder="1" applyAlignment="1">
      <alignment horizontal="left" vertical="center" indent="1"/>
    </xf>
    <xf numFmtId="0" fontId="1" fillId="4" borderId="42" xfId="4" applyFill="1" applyBorder="1" applyAlignment="1">
      <alignment horizontal="left" vertical="center" indent="1"/>
    </xf>
    <xf numFmtId="165" fontId="29" fillId="0" borderId="9" xfId="0" applyNumberFormat="1" applyFont="1" applyBorder="1" applyAlignment="1">
      <alignment horizontal="center" vertical="center"/>
    </xf>
    <xf numFmtId="0" fontId="5" fillId="9" borderId="1" xfId="0" applyFont="1" applyFill="1" applyBorder="1" applyAlignment="1" applyProtection="1">
      <alignment horizontal="left" vertical="center" indent="1"/>
      <protection locked="0"/>
    </xf>
    <xf numFmtId="0" fontId="1" fillId="9" borderId="1" xfId="0" applyFont="1" applyFill="1" applyBorder="1" applyAlignment="1" applyProtection="1">
      <alignment horizontal="left" vertical="center" indent="1"/>
      <protection locked="0"/>
    </xf>
    <xf numFmtId="0" fontId="5" fillId="9" borderId="2" xfId="0" applyFont="1" applyFill="1" applyBorder="1" applyAlignment="1" applyProtection="1">
      <alignment horizontal="left" vertical="center" indent="1"/>
      <protection locked="0"/>
    </xf>
    <xf numFmtId="166" fontId="13" fillId="6" borderId="24" xfId="1" applyNumberFormat="1" applyFont="1" applyFill="1" applyBorder="1" applyAlignment="1">
      <alignment horizontal="center" vertical="center" wrapText="1"/>
    </xf>
    <xf numFmtId="0" fontId="7" fillId="0" borderId="49" xfId="0" applyFont="1" applyBorder="1" applyAlignment="1">
      <alignment horizontal="center" vertical="center" wrapText="1"/>
    </xf>
    <xf numFmtId="0" fontId="38" fillId="0" borderId="0" xfId="0" applyFont="1" applyAlignment="1">
      <alignment horizontal="center" vertical="center"/>
    </xf>
    <xf numFmtId="0" fontId="22" fillId="0" borderId="0" xfId="0" applyFont="1" applyAlignment="1">
      <alignment horizontal="center" vertical="center" wrapText="1"/>
    </xf>
    <xf numFmtId="9" fontId="7" fillId="4" borderId="1" xfId="0" applyNumberFormat="1" applyFont="1" applyFill="1" applyBorder="1" applyAlignment="1">
      <alignment horizontal="right" vertical="center" wrapText="1" indent="1"/>
    </xf>
    <xf numFmtId="166" fontId="7" fillId="4" borderId="1" xfId="0" applyNumberFormat="1" applyFont="1" applyFill="1" applyBorder="1" applyAlignment="1">
      <alignment horizontal="right" vertical="center" wrapText="1" indent="1"/>
    </xf>
    <xf numFmtId="0" fontId="37" fillId="0" borderId="0" xfId="0" applyFont="1" applyAlignment="1">
      <alignment vertical="center"/>
    </xf>
    <xf numFmtId="0" fontId="38" fillId="0" borderId="0" xfId="0" applyFont="1" applyAlignment="1">
      <alignment vertical="center"/>
    </xf>
    <xf numFmtId="3" fontId="38" fillId="0" borderId="0" xfId="0" applyNumberFormat="1" applyFont="1" applyAlignment="1">
      <alignment vertical="center"/>
    </xf>
    <xf numFmtId="3" fontId="38" fillId="0" borderId="0" xfId="0" applyNumberFormat="1" applyFont="1" applyAlignment="1">
      <alignment horizontal="right" vertical="center" wrapText="1" indent="1"/>
    </xf>
    <xf numFmtId="166" fontId="38" fillId="0" borderId="0" xfId="0" applyNumberFormat="1" applyFont="1" applyAlignment="1">
      <alignment vertical="center"/>
    </xf>
    <xf numFmtId="0" fontId="37" fillId="0" borderId="0" xfId="0" applyFont="1"/>
    <xf numFmtId="0" fontId="37" fillId="0" borderId="0" xfId="0" applyFont="1" applyAlignment="1">
      <alignment horizontal="left" vertical="center" indent="1"/>
    </xf>
    <xf numFmtId="0" fontId="17" fillId="0" borderId="0" xfId="0" applyFont="1" applyAlignment="1">
      <alignment horizontal="left" vertical="center" wrapText="1"/>
    </xf>
    <xf numFmtId="0" fontId="17" fillId="0" borderId="0" xfId="0" applyFont="1" applyAlignment="1">
      <alignment vertical="center" wrapText="1"/>
    </xf>
    <xf numFmtId="0" fontId="5" fillId="0" borderId="0" xfId="0" applyFont="1"/>
    <xf numFmtId="2" fontId="17" fillId="0" borderId="0" xfId="0" applyNumberFormat="1" applyFont="1" applyAlignment="1">
      <alignment horizontal="left" vertical="top" indent="1"/>
    </xf>
    <xf numFmtId="2" fontId="17" fillId="0" borderId="0" xfId="0" applyNumberFormat="1" applyFont="1" applyAlignment="1">
      <alignment vertical="center" wrapText="1"/>
    </xf>
    <xf numFmtId="9" fontId="1" fillId="0" borderId="0" xfId="3" applyFont="1" applyAlignment="1" applyProtection="1">
      <alignment horizontal="right" vertical="center" wrapText="1" indent="1"/>
    </xf>
    <xf numFmtId="0" fontId="5" fillId="9" borderId="1" xfId="0" applyFont="1" applyFill="1" applyBorder="1" applyAlignment="1" applyProtection="1">
      <alignment horizontal="left" vertical="center" indent="2"/>
      <protection locked="0"/>
    </xf>
    <xf numFmtId="3" fontId="23" fillId="0" borderId="0" xfId="0" applyNumberFormat="1" applyFont="1" applyAlignment="1">
      <alignment vertical="center"/>
    </xf>
    <xf numFmtId="3" fontId="17" fillId="0" borderId="0" xfId="0" applyNumberFormat="1" applyFont="1" applyAlignment="1">
      <alignment vertical="center" wrapText="1"/>
    </xf>
    <xf numFmtId="3" fontId="17" fillId="0" borderId="0" xfId="0" applyNumberFormat="1" applyFont="1" applyAlignment="1">
      <alignment vertical="center"/>
    </xf>
    <xf numFmtId="3" fontId="19" fillId="0" borderId="0" xfId="0" applyNumberFormat="1" applyFont="1" applyAlignment="1">
      <alignment horizontal="left" vertical="top" wrapText="1"/>
    </xf>
    <xf numFmtId="3" fontId="14" fillId="0" borderId="0" xfId="0" applyNumberFormat="1" applyFont="1" applyAlignment="1">
      <alignment horizontal="left" vertical="top" wrapText="1"/>
    </xf>
    <xf numFmtId="3" fontId="17" fillId="0" borderId="0" xfId="0" applyNumberFormat="1" applyFont="1" applyAlignment="1">
      <alignment horizontal="left" vertical="top" wrapText="1"/>
    </xf>
    <xf numFmtId="3" fontId="17" fillId="0" borderId="0" xfId="0" applyNumberFormat="1" applyFont="1" applyAlignment="1">
      <alignment horizontal="left" vertical="center" wrapText="1"/>
    </xf>
    <xf numFmtId="0" fontId="29" fillId="0" borderId="0" xfId="0" applyFont="1" applyAlignment="1">
      <alignment vertical="center"/>
    </xf>
    <xf numFmtId="165" fontId="7" fillId="0" borderId="0" xfId="0" applyNumberFormat="1" applyFont="1" applyAlignment="1">
      <alignment horizontal="center" vertical="center" wrapText="1"/>
    </xf>
    <xf numFmtId="0" fontId="39" fillId="0" borderId="0" xfId="0" applyFont="1" applyAlignment="1">
      <alignment horizontal="center" vertical="center"/>
    </xf>
    <xf numFmtId="166" fontId="5" fillId="4" borderId="1" xfId="0" applyNumberFormat="1" applyFont="1" applyFill="1" applyBorder="1" applyAlignment="1">
      <alignment horizontal="left" vertical="center" indent="1"/>
    </xf>
    <xf numFmtId="0" fontId="38" fillId="0" borderId="0" xfId="0" applyFont="1" applyAlignment="1">
      <alignment horizontal="right" vertical="center" indent="1"/>
    </xf>
    <xf numFmtId="0" fontId="1" fillId="4" borderId="1" xfId="0" applyFont="1" applyFill="1" applyBorder="1" applyAlignment="1">
      <alignment horizontal="left" vertical="center" wrapText="1" indent="1"/>
    </xf>
    <xf numFmtId="0" fontId="1" fillId="4" borderId="54" xfId="4" applyFill="1" applyBorder="1" applyAlignment="1">
      <alignment horizontal="left" vertical="center" indent="2"/>
    </xf>
    <xf numFmtId="0" fontId="1" fillId="4" borderId="55" xfId="4" applyFill="1" applyBorder="1" applyAlignment="1">
      <alignment horizontal="left" vertical="center" indent="2"/>
    </xf>
    <xf numFmtId="0" fontId="1" fillId="4" borderId="18" xfId="4" applyFill="1" applyBorder="1" applyAlignment="1">
      <alignment horizontal="left" vertical="center" indent="2"/>
    </xf>
    <xf numFmtId="0" fontId="1" fillId="4" borderId="58" xfId="4" applyFill="1" applyBorder="1" applyAlignment="1">
      <alignment horizontal="left" vertical="center" indent="2"/>
    </xf>
    <xf numFmtId="0" fontId="1" fillId="4" borderId="59" xfId="4" applyFill="1" applyBorder="1" applyAlignment="1">
      <alignment horizontal="left" vertical="center" indent="2"/>
    </xf>
    <xf numFmtId="0" fontId="1" fillId="4" borderId="19" xfId="4" applyFill="1" applyBorder="1" applyAlignment="1">
      <alignment horizontal="left" vertical="center" indent="2"/>
    </xf>
    <xf numFmtId="0" fontId="7" fillId="0" borderId="4" xfId="0" applyFont="1" applyBorder="1" applyAlignment="1">
      <alignment vertical="center" wrapText="1"/>
    </xf>
    <xf numFmtId="165" fontId="7" fillId="0" borderId="51" xfId="0" applyNumberFormat="1" applyFont="1" applyBorder="1" applyAlignment="1">
      <alignment horizontal="center" vertical="center" wrapText="1"/>
    </xf>
    <xf numFmtId="0" fontId="7" fillId="0" borderId="5" xfId="0" applyFont="1" applyBorder="1" applyAlignment="1">
      <alignment vertical="center" wrapText="1"/>
    </xf>
    <xf numFmtId="0" fontId="23" fillId="0" borderId="0" xfId="0" applyFont="1" applyAlignment="1">
      <alignment horizontal="left" vertical="center"/>
    </xf>
    <xf numFmtId="0" fontId="1" fillId="4" borderId="23" xfId="4" applyFill="1" applyBorder="1" applyAlignment="1">
      <alignment horizontal="left" vertical="center" indent="1"/>
    </xf>
    <xf numFmtId="0" fontId="7" fillId="0" borderId="0" xfId="0" applyFont="1" applyAlignment="1">
      <alignment horizontal="left" vertical="center" indent="1"/>
    </xf>
    <xf numFmtId="0" fontId="29" fillId="0" borderId="0" xfId="0" applyFont="1" applyAlignment="1" applyProtection="1">
      <alignment horizontal="center" vertical="center"/>
      <protection locked="0"/>
    </xf>
    <xf numFmtId="165" fontId="1" fillId="4" borderId="2" xfId="0" applyNumberFormat="1" applyFont="1" applyFill="1" applyBorder="1" applyAlignment="1">
      <alignment horizontal="left" vertical="center" indent="3"/>
    </xf>
    <xf numFmtId="166" fontId="1" fillId="0" borderId="0" xfId="0" applyNumberFormat="1" applyFont="1" applyAlignment="1">
      <alignment vertical="center"/>
    </xf>
    <xf numFmtId="165" fontId="1" fillId="4" borderId="1" xfId="0" applyNumberFormat="1" applyFont="1" applyFill="1" applyBorder="1" applyAlignment="1">
      <alignment horizontal="left" vertical="center" indent="1"/>
    </xf>
    <xf numFmtId="0" fontId="1" fillId="4" borderId="2" xfId="0" applyFont="1" applyFill="1" applyBorder="1" applyAlignment="1">
      <alignment horizontal="center" vertical="center"/>
    </xf>
    <xf numFmtId="0" fontId="1" fillId="4" borderId="2" xfId="0" applyFont="1" applyFill="1" applyBorder="1" applyAlignment="1">
      <alignment horizontal="left" vertical="center" indent="2"/>
    </xf>
    <xf numFmtId="3" fontId="1" fillId="4" borderId="1" xfId="0" applyNumberFormat="1" applyFont="1" applyFill="1" applyBorder="1" applyAlignment="1">
      <alignment horizontal="right" vertical="center" indent="1"/>
    </xf>
    <xf numFmtId="3" fontId="9" fillId="0" borderId="0" xfId="0" applyNumberFormat="1" applyFont="1" applyAlignment="1">
      <alignment vertical="center"/>
    </xf>
    <xf numFmtId="0" fontId="5" fillId="0" borderId="0" xfId="4" applyFont="1" applyAlignment="1">
      <alignment horizontal="right" vertical="center" indent="2"/>
    </xf>
    <xf numFmtId="0" fontId="1" fillId="0" borderId="0" xfId="4" applyAlignment="1">
      <alignment horizontal="right" vertical="center" wrapText="1" indent="2"/>
    </xf>
    <xf numFmtId="0" fontId="1" fillId="0" borderId="0" xfId="4" applyAlignment="1">
      <alignment horizontal="right" indent="2"/>
    </xf>
    <xf numFmtId="0" fontId="1" fillId="0" borderId="0" xfId="4" applyAlignment="1">
      <alignment horizontal="right" indent="1"/>
    </xf>
    <xf numFmtId="0" fontId="37" fillId="0" borderId="0" xfId="0" applyFont="1" applyAlignment="1">
      <alignment horizontal="center" vertical="center"/>
    </xf>
    <xf numFmtId="0" fontId="29" fillId="0" borderId="0" xfId="0" applyFont="1" applyAlignment="1">
      <alignment horizontal="center"/>
    </xf>
    <xf numFmtId="0" fontId="29" fillId="0" borderId="0" xfId="0" applyFont="1" applyAlignment="1">
      <alignment textRotation="90" wrapText="1"/>
    </xf>
    <xf numFmtId="0" fontId="10" fillId="0" borderId="0" xfId="0" applyFont="1" applyAlignment="1">
      <alignment horizontal="left" vertical="center" indent="1"/>
    </xf>
    <xf numFmtId="0" fontId="6" fillId="0" borderId="0" xfId="0" applyFont="1" applyAlignment="1">
      <alignment horizontal="center" vertical="center" wrapText="1"/>
    </xf>
    <xf numFmtId="0" fontId="10" fillId="0" borderId="0" xfId="0" applyFont="1" applyAlignment="1">
      <alignment horizontal="center" vertical="center"/>
    </xf>
    <xf numFmtId="1" fontId="1" fillId="7" borderId="18" xfId="4" applyNumberFormat="1" applyFill="1" applyBorder="1" applyAlignment="1">
      <alignment horizontal="right" vertical="center" indent="1"/>
    </xf>
    <xf numFmtId="1" fontId="1" fillId="7" borderId="58" xfId="4" applyNumberFormat="1" applyFill="1" applyBorder="1" applyAlignment="1">
      <alignment horizontal="right" vertical="center" indent="1"/>
    </xf>
    <xf numFmtId="1" fontId="1" fillId="7" borderId="19" xfId="4" applyNumberFormat="1" applyFill="1" applyBorder="1" applyAlignment="1">
      <alignment horizontal="right" vertical="center" indent="1"/>
    </xf>
    <xf numFmtId="1" fontId="1" fillId="7" borderId="20" xfId="4" applyNumberFormat="1" applyFill="1" applyBorder="1" applyAlignment="1">
      <alignment horizontal="right" vertical="center" indent="1"/>
    </xf>
    <xf numFmtId="1" fontId="1" fillId="7" borderId="42" xfId="4" applyNumberFormat="1" applyFill="1" applyBorder="1" applyAlignment="1">
      <alignment horizontal="right" vertical="center" indent="1"/>
    </xf>
    <xf numFmtId="1" fontId="1" fillId="7" borderId="23" xfId="4" applyNumberFormat="1" applyFill="1" applyBorder="1" applyAlignment="1">
      <alignment horizontal="right" vertical="center" indent="1"/>
    </xf>
    <xf numFmtId="1" fontId="1" fillId="7" borderId="44" xfId="4" applyNumberFormat="1" applyFill="1" applyBorder="1" applyAlignment="1">
      <alignment horizontal="right" vertical="center" indent="1"/>
    </xf>
    <xf numFmtId="1" fontId="1" fillId="7" borderId="2" xfId="4" applyNumberFormat="1" applyFill="1" applyBorder="1" applyAlignment="1">
      <alignment horizontal="right" vertical="center" indent="1"/>
    </xf>
    <xf numFmtId="1" fontId="1" fillId="7" borderId="66" xfId="4" applyNumberFormat="1" applyFill="1" applyBorder="1" applyAlignment="1">
      <alignment horizontal="right" vertical="center" indent="1"/>
    </xf>
    <xf numFmtId="166" fontId="1" fillId="4" borderId="20" xfId="1" applyNumberFormat="1" applyFill="1" applyBorder="1" applyAlignment="1">
      <alignment horizontal="right" vertical="center" indent="1"/>
    </xf>
    <xf numFmtId="166" fontId="1" fillId="4" borderId="42" xfId="1" applyNumberFormat="1" applyFill="1" applyBorder="1" applyAlignment="1">
      <alignment horizontal="right" vertical="center" indent="1"/>
    </xf>
    <xf numFmtId="166" fontId="13" fillId="6" borderId="23" xfId="1" applyNumberFormat="1" applyFont="1" applyFill="1" applyBorder="1" applyAlignment="1">
      <alignment horizontal="center" vertical="center" wrapText="1"/>
    </xf>
    <xf numFmtId="173" fontId="13" fillId="6" borderId="25" xfId="1" applyNumberFormat="1" applyFont="1" applyFill="1" applyBorder="1" applyAlignment="1">
      <alignment horizontal="center" vertical="center"/>
    </xf>
    <xf numFmtId="0" fontId="1" fillId="4" borderId="21" xfId="3" applyNumberFormat="1" applyFont="1" applyFill="1" applyBorder="1" applyAlignment="1" applyProtection="1">
      <alignment horizontal="right" vertical="center" indent="2"/>
    </xf>
    <xf numFmtId="0" fontId="1" fillId="4" borderId="1" xfId="3" applyNumberFormat="1" applyFont="1" applyFill="1" applyBorder="1" applyAlignment="1" applyProtection="1">
      <alignment horizontal="right" vertical="center" indent="2"/>
    </xf>
    <xf numFmtId="0" fontId="1" fillId="4" borderId="24" xfId="3" applyNumberFormat="1" applyFont="1" applyFill="1" applyBorder="1" applyAlignment="1" applyProtection="1">
      <alignment horizontal="right" vertical="center" indent="2"/>
    </xf>
    <xf numFmtId="4" fontId="1" fillId="4" borderId="18" xfId="3" applyNumberFormat="1" applyFont="1" applyFill="1" applyBorder="1" applyAlignment="1" applyProtection="1">
      <alignment horizontal="right" vertical="center" indent="2"/>
    </xf>
    <xf numFmtId="4" fontId="1" fillId="4" borderId="58" xfId="3" applyNumberFormat="1" applyFont="1" applyFill="1" applyBorder="1" applyAlignment="1" applyProtection="1">
      <alignment horizontal="right" vertical="center" indent="2"/>
    </xf>
    <xf numFmtId="4" fontId="1" fillId="4" borderId="19" xfId="3" applyNumberFormat="1" applyFont="1" applyFill="1" applyBorder="1" applyAlignment="1" applyProtection="1">
      <alignment horizontal="right" vertical="center" indent="2"/>
    </xf>
    <xf numFmtId="0" fontId="0" fillId="0" borderId="0" xfId="0" applyAlignment="1">
      <alignment horizontal="right" indent="1"/>
    </xf>
    <xf numFmtId="0" fontId="0" fillId="0" borderId="0" xfId="0" applyAlignment="1">
      <alignment horizontal="right"/>
    </xf>
    <xf numFmtId="0" fontId="0" fillId="0" borderId="0" xfId="0" applyAlignment="1">
      <alignment horizontal="right" indent="2"/>
    </xf>
    <xf numFmtId="0" fontId="1" fillId="4" borderId="67" xfId="4" applyFill="1" applyBorder="1" applyAlignment="1">
      <alignment horizontal="left" vertical="center" indent="2"/>
    </xf>
    <xf numFmtId="0" fontId="7" fillId="0" borderId="0" xfId="0" applyFont="1" applyAlignment="1">
      <alignment horizontal="center" vertical="center" wrapText="1"/>
    </xf>
    <xf numFmtId="168" fontId="7" fillId="0" borderId="48" xfId="0" applyNumberFormat="1" applyFont="1" applyBorder="1" applyAlignment="1">
      <alignment horizontal="center" vertical="center" wrapText="1"/>
    </xf>
    <xf numFmtId="0" fontId="7" fillId="0" borderId="50" xfId="0" applyFont="1" applyBorder="1" applyAlignment="1">
      <alignment horizontal="center" vertical="center" wrapText="1"/>
    </xf>
    <xf numFmtId="0" fontId="7" fillId="0" borderId="4" xfId="0" applyFont="1" applyBorder="1" applyAlignment="1">
      <alignment horizontal="right" vertical="center" indent="1"/>
    </xf>
    <xf numFmtId="0" fontId="9" fillId="0" borderId="0" xfId="0" applyFont="1" applyAlignment="1">
      <alignment horizontal="left" indent="2"/>
    </xf>
    <xf numFmtId="4" fontId="29" fillId="0" borderId="0" xfId="0" applyNumberFormat="1" applyFont="1" applyAlignment="1">
      <alignment horizontal="center" vertical="center"/>
    </xf>
    <xf numFmtId="0" fontId="13" fillId="0" borderId="0" xfId="0" applyFont="1" applyAlignment="1">
      <alignment vertical="center"/>
    </xf>
    <xf numFmtId="0" fontId="31" fillId="14" borderId="0" xfId="0" applyFont="1" applyFill="1" applyAlignment="1">
      <alignment horizontal="center" vertical="center"/>
    </xf>
    <xf numFmtId="0" fontId="8" fillId="0" borderId="0" xfId="0" applyFont="1" applyAlignment="1">
      <alignment horizontal="right" vertical="center" indent="1"/>
    </xf>
    <xf numFmtId="166" fontId="1" fillId="4" borderId="1" xfId="0" applyNumberFormat="1" applyFont="1" applyFill="1" applyBorder="1" applyAlignment="1">
      <alignment horizontal="center" vertical="center"/>
    </xf>
    <xf numFmtId="166" fontId="1" fillId="9" borderId="2" xfId="0" applyNumberFormat="1" applyFont="1" applyFill="1" applyBorder="1" applyAlignment="1" applyProtection="1">
      <alignment horizontal="center" vertical="center"/>
      <protection locked="0"/>
    </xf>
    <xf numFmtId="4" fontId="1" fillId="4" borderId="1" xfId="0" applyNumberFormat="1" applyFont="1" applyFill="1" applyBorder="1" applyAlignment="1">
      <alignment horizontal="center" vertical="center"/>
    </xf>
    <xf numFmtId="166" fontId="1" fillId="4" borderId="1" xfId="0" applyNumberFormat="1" applyFont="1" applyFill="1" applyBorder="1" applyAlignment="1">
      <alignment horizontal="left" vertical="center"/>
    </xf>
    <xf numFmtId="166" fontId="1" fillId="15" borderId="1" xfId="0" applyNumberFormat="1" applyFont="1" applyFill="1" applyBorder="1" applyAlignment="1">
      <alignment horizontal="right" vertical="center" indent="1"/>
    </xf>
    <xf numFmtId="166" fontId="1" fillId="16" borderId="1" xfId="0" applyNumberFormat="1" applyFont="1" applyFill="1" applyBorder="1" applyAlignment="1">
      <alignment horizontal="right" vertical="center" indent="1"/>
    </xf>
    <xf numFmtId="3" fontId="29" fillId="0" borderId="0" xfId="0" applyNumberFormat="1" applyFont="1" applyAlignment="1">
      <alignment horizontal="center" vertical="center"/>
    </xf>
    <xf numFmtId="167" fontId="1" fillId="15" borderId="1" xfId="0" applyNumberFormat="1" applyFont="1" applyFill="1" applyBorder="1" applyAlignment="1">
      <alignment horizontal="right" vertical="center" indent="1"/>
    </xf>
    <xf numFmtId="0" fontId="1" fillId="4" borderId="71" xfId="4" applyFill="1" applyBorder="1" applyAlignment="1">
      <alignment horizontal="left" vertical="center" indent="1"/>
    </xf>
    <xf numFmtId="0" fontId="1" fillId="4" borderId="72" xfId="4" applyFill="1" applyBorder="1" applyAlignment="1">
      <alignment horizontal="left" vertical="center" indent="1"/>
    </xf>
    <xf numFmtId="0" fontId="1" fillId="4" borderId="73" xfId="4" applyFill="1" applyBorder="1" applyAlignment="1">
      <alignment horizontal="left" vertical="center" indent="1"/>
    </xf>
    <xf numFmtId="9" fontId="5" fillId="9" borderId="1" xfId="3" applyFont="1" applyFill="1" applyBorder="1" applyAlignment="1" applyProtection="1">
      <alignment horizontal="right" vertical="center" wrapText="1" indent="1"/>
      <protection locked="0"/>
    </xf>
    <xf numFmtId="3" fontId="11" fillId="0" borderId="0" xfId="0" applyNumberFormat="1" applyFont="1" applyAlignment="1">
      <alignment horizontal="center" vertical="center"/>
    </xf>
    <xf numFmtId="3" fontId="7" fillId="0" borderId="0" xfId="0" applyNumberFormat="1" applyFont="1" applyAlignment="1">
      <alignment horizontal="center" vertical="center"/>
    </xf>
    <xf numFmtId="3" fontId="0" fillId="0" borderId="0" xfId="0" applyNumberFormat="1" applyAlignment="1">
      <alignment horizontal="center" vertical="center"/>
    </xf>
    <xf numFmtId="0" fontId="0" fillId="0" borderId="0" xfId="0" applyAlignment="1">
      <alignment horizontal="center" vertical="center"/>
    </xf>
    <xf numFmtId="166" fontId="5" fillId="12" borderId="1" xfId="0" applyNumberFormat="1" applyFont="1" applyFill="1" applyBorder="1" applyAlignment="1">
      <alignment horizontal="left" vertical="center" indent="1"/>
    </xf>
    <xf numFmtId="9" fontId="5" fillId="12" borderId="1" xfId="3" applyFont="1" applyFill="1" applyBorder="1" applyAlignment="1" applyProtection="1">
      <alignment horizontal="right" vertical="center" indent="1"/>
    </xf>
    <xf numFmtId="9" fontId="5" fillId="12" borderId="1" xfId="3" applyFont="1" applyFill="1" applyBorder="1" applyAlignment="1" applyProtection="1">
      <alignment horizontal="right" vertical="center" wrapText="1" indent="1"/>
    </xf>
    <xf numFmtId="49" fontId="42" fillId="0" borderId="0" xfId="0" applyNumberFormat="1" applyFont="1" applyAlignment="1">
      <alignment horizontal="left" vertical="center" indent="1"/>
    </xf>
    <xf numFmtId="0" fontId="37" fillId="0" borderId="0" xfId="0" applyFont="1" applyAlignment="1">
      <alignment horizontal="center"/>
    </xf>
    <xf numFmtId="166" fontId="7" fillId="0" borderId="0" xfId="0" applyNumberFormat="1" applyFont="1" applyAlignment="1">
      <alignment vertical="center"/>
    </xf>
    <xf numFmtId="165" fontId="5" fillId="4" borderId="1" xfId="0" applyNumberFormat="1" applyFont="1" applyFill="1" applyBorder="1" applyAlignment="1">
      <alignment horizontal="center" vertical="center"/>
    </xf>
    <xf numFmtId="167" fontId="7" fillId="3" borderId="1" xfId="0" applyNumberFormat="1" applyFont="1" applyFill="1" applyBorder="1" applyAlignment="1">
      <alignment horizontal="right" vertical="center" wrapText="1" indent="2"/>
    </xf>
    <xf numFmtId="0" fontId="7" fillId="0" borderId="0" xfId="0" applyFont="1" applyAlignment="1">
      <alignment horizontal="right" vertical="center"/>
    </xf>
    <xf numFmtId="0" fontId="8" fillId="0" borderId="0" xfId="0" applyFont="1" applyAlignment="1">
      <alignment horizontal="right" vertical="center"/>
    </xf>
    <xf numFmtId="0" fontId="5" fillId="0" borderId="0" xfId="0" applyFont="1" applyAlignment="1">
      <alignment horizontal="right" vertical="center"/>
    </xf>
    <xf numFmtId="0" fontId="11" fillId="0" borderId="0" xfId="0" applyFont="1" applyAlignment="1">
      <alignment horizontal="right" vertical="center"/>
    </xf>
    <xf numFmtId="0" fontId="32" fillId="0" borderId="0" xfId="0" applyFont="1" applyAlignment="1">
      <alignment horizontal="right" vertical="center"/>
    </xf>
    <xf numFmtId="0" fontId="31" fillId="0" borderId="0" xfId="0" applyFont="1" applyAlignment="1">
      <alignment horizontal="right" vertical="center"/>
    </xf>
    <xf numFmtId="165" fontId="5" fillId="10" borderId="1" xfId="0" applyNumberFormat="1" applyFont="1" applyFill="1" applyBorder="1" applyAlignment="1">
      <alignment horizontal="center" vertical="center"/>
    </xf>
    <xf numFmtId="167" fontId="5" fillId="10" borderId="1" xfId="0" applyNumberFormat="1" applyFont="1" applyFill="1" applyBorder="1" applyAlignment="1">
      <alignment horizontal="center" vertical="center"/>
    </xf>
    <xf numFmtId="3" fontId="1" fillId="10" borderId="1" xfId="0" applyNumberFormat="1" applyFont="1" applyFill="1" applyBorder="1" applyAlignment="1">
      <alignment horizontal="right" vertical="center"/>
    </xf>
    <xf numFmtId="0" fontId="4" fillId="5" borderId="6" xfId="4" applyFont="1" applyFill="1" applyBorder="1" applyAlignment="1">
      <alignment vertical="center"/>
    </xf>
    <xf numFmtId="0" fontId="4" fillId="5" borderId="6" xfId="4" applyFont="1" applyFill="1" applyBorder="1" applyAlignment="1">
      <alignment horizontal="right" vertical="center" indent="1"/>
    </xf>
    <xf numFmtId="170" fontId="5" fillId="10" borderId="1" xfId="0" applyNumberFormat="1" applyFont="1" applyFill="1" applyBorder="1" applyAlignment="1">
      <alignment vertical="center"/>
    </xf>
    <xf numFmtId="170" fontId="5" fillId="10" borderId="1" xfId="0" applyNumberFormat="1" applyFont="1" applyFill="1" applyBorder="1" applyAlignment="1">
      <alignment horizontal="center" vertical="center"/>
    </xf>
    <xf numFmtId="169" fontId="5" fillId="10" borderId="1" xfId="0" applyNumberFormat="1" applyFont="1" applyFill="1" applyBorder="1" applyAlignment="1">
      <alignment horizontal="center" vertical="center"/>
    </xf>
    <xf numFmtId="0" fontId="29" fillId="0" borderId="0" xfId="0" applyFont="1" applyAlignment="1" applyProtection="1">
      <alignment horizontal="center" vertical="top"/>
      <protection locked="0"/>
    </xf>
    <xf numFmtId="0" fontId="5" fillId="0" borderId="0" xfId="0" applyFont="1" applyAlignment="1">
      <alignment vertical="top"/>
    </xf>
    <xf numFmtId="3" fontId="5" fillId="0" borderId="0" xfId="0" applyNumberFormat="1" applyFont="1" applyAlignment="1">
      <alignment vertical="top"/>
    </xf>
    <xf numFmtId="0" fontId="29" fillId="0" borderId="0" xfId="0" applyFont="1" applyAlignment="1">
      <alignment horizontal="center" vertical="top"/>
    </xf>
    <xf numFmtId="0" fontId="5" fillId="0" borderId="0" xfId="0" applyFont="1" applyAlignment="1">
      <alignment horizontal="center" vertical="top"/>
    </xf>
    <xf numFmtId="0" fontId="6" fillId="0" borderId="0" xfId="0" applyFont="1" applyAlignment="1">
      <alignment vertical="top"/>
    </xf>
    <xf numFmtId="0" fontId="6" fillId="0" borderId="0" xfId="0" applyFont="1" applyAlignment="1">
      <alignment horizontal="center" vertical="top"/>
    </xf>
    <xf numFmtId="0" fontId="8" fillId="0" borderId="0" xfId="0" applyFont="1" applyAlignment="1">
      <alignment vertical="top"/>
    </xf>
    <xf numFmtId="166" fontId="5" fillId="0" borderId="0" xfId="0" applyNumberFormat="1" applyFont="1" applyAlignment="1">
      <alignment vertical="top"/>
    </xf>
    <xf numFmtId="0" fontId="6" fillId="0" borderId="0" xfId="0" applyFont="1" applyAlignment="1">
      <alignment vertical="top" wrapText="1"/>
    </xf>
    <xf numFmtId="166" fontId="8" fillId="0" borderId="0" xfId="0" applyNumberFormat="1" applyFont="1" applyAlignment="1">
      <alignment vertical="top"/>
    </xf>
    <xf numFmtId="49" fontId="23" fillId="0" borderId="0" xfId="0" applyNumberFormat="1" applyFont="1" applyAlignment="1">
      <alignment horizontal="center" vertical="top"/>
    </xf>
    <xf numFmtId="0" fontId="31" fillId="0" borderId="0" xfId="0" applyFont="1" applyAlignment="1">
      <alignment horizontal="center" vertical="top"/>
    </xf>
    <xf numFmtId="0" fontId="1" fillId="0" borderId="0" xfId="0" applyFont="1" applyAlignment="1">
      <alignment horizontal="left" indent="1"/>
    </xf>
    <xf numFmtId="0" fontId="30" fillId="0" borderId="0" xfId="0" applyFont="1" applyAlignment="1">
      <alignment horizontal="center" vertical="center"/>
    </xf>
    <xf numFmtId="0" fontId="1" fillId="0" borderId="0" xfId="0" applyFont="1" applyAlignment="1">
      <alignment horizontal="left" indent="2"/>
    </xf>
    <xf numFmtId="0" fontId="43" fillId="0" borderId="0" xfId="0" applyFont="1" applyAlignment="1">
      <alignment horizontal="center" vertical="center"/>
    </xf>
    <xf numFmtId="0" fontId="9" fillId="0" borderId="0" xfId="0" applyFont="1" applyAlignment="1">
      <alignment vertical="center"/>
    </xf>
    <xf numFmtId="165" fontId="9" fillId="0" borderId="0" xfId="0" applyNumberFormat="1" applyFont="1" applyAlignment="1">
      <alignment horizontal="center" vertical="center"/>
    </xf>
    <xf numFmtId="0" fontId="9" fillId="0" borderId="0" xfId="2" applyFont="1" applyAlignment="1">
      <alignment horizontal="center" vertical="center" wrapText="1"/>
    </xf>
    <xf numFmtId="166" fontId="7" fillId="3" borderId="1" xfId="0" applyNumberFormat="1" applyFont="1" applyFill="1" applyBorder="1" applyAlignment="1">
      <alignment horizontal="right" vertical="center" indent="2"/>
    </xf>
    <xf numFmtId="3" fontId="9" fillId="0" borderId="0" xfId="0" applyNumberFormat="1" applyFont="1" applyAlignment="1">
      <alignment vertical="top"/>
    </xf>
    <xf numFmtId="0" fontId="9" fillId="0" borderId="0" xfId="0" applyFont="1" applyAlignment="1">
      <alignment horizontal="left" vertical="center" indent="1"/>
    </xf>
    <xf numFmtId="3" fontId="9" fillId="0" borderId="0" xfId="0" applyNumberFormat="1" applyFont="1" applyAlignment="1">
      <alignment horizontal="left" vertical="center" indent="1"/>
    </xf>
    <xf numFmtId="3" fontId="43" fillId="0" borderId="0" xfId="0" applyNumberFormat="1" applyFont="1" applyAlignment="1">
      <alignment vertical="center"/>
    </xf>
    <xf numFmtId="0" fontId="23" fillId="0" borderId="0" xfId="0" applyFont="1"/>
    <xf numFmtId="3" fontId="1" fillId="0" borderId="0" xfId="0" applyNumberFormat="1" applyFont="1" applyAlignment="1">
      <alignment horizontal="center" vertical="center" shrinkToFit="1"/>
    </xf>
    <xf numFmtId="0" fontId="44" fillId="0" borderId="0" xfId="0" applyFont="1" applyAlignment="1">
      <alignment wrapText="1"/>
    </xf>
    <xf numFmtId="0" fontId="16" fillId="0" borderId="0" xfId="0" applyFont="1" applyAlignment="1">
      <alignment horizontal="right" vertical="top" indent="1"/>
    </xf>
    <xf numFmtId="0" fontId="22" fillId="0" borderId="0" xfId="0" applyFont="1" applyAlignment="1">
      <alignment horizontal="right" vertical="top" indent="1"/>
    </xf>
    <xf numFmtId="0" fontId="23" fillId="0" borderId="0" xfId="0" applyFont="1" applyAlignment="1">
      <alignment horizontal="right" vertical="top" indent="1"/>
    </xf>
    <xf numFmtId="166" fontId="1" fillId="4" borderId="2" xfId="0" applyNumberFormat="1" applyFont="1" applyFill="1" applyBorder="1" applyAlignment="1">
      <alignment horizontal="left" vertical="center"/>
    </xf>
    <xf numFmtId="0" fontId="44" fillId="0" borderId="0" xfId="0" applyFont="1" applyAlignment="1">
      <alignment vertical="center" wrapText="1"/>
    </xf>
    <xf numFmtId="0" fontId="44" fillId="0" borderId="0" xfId="0" applyFont="1" applyAlignment="1">
      <alignment horizontal="right"/>
    </xf>
    <xf numFmtId="0" fontId="45" fillId="0" borderId="0" xfId="0" applyFont="1" applyAlignment="1">
      <alignment horizontal="center"/>
    </xf>
    <xf numFmtId="0" fontId="4" fillId="5" borderId="0" xfId="4" applyFont="1" applyFill="1" applyAlignment="1">
      <alignment horizontal="center" vertical="center"/>
    </xf>
    <xf numFmtId="174" fontId="5" fillId="0" borderId="0" xfId="0" applyNumberFormat="1" applyFont="1" applyAlignment="1">
      <alignment vertical="center"/>
    </xf>
    <xf numFmtId="166" fontId="1" fillId="17" borderId="1" xfId="1" applyNumberFormat="1" applyFill="1" applyBorder="1" applyAlignment="1">
      <alignment horizontal="right" vertical="center" indent="1"/>
    </xf>
    <xf numFmtId="166" fontId="1" fillId="17" borderId="21" xfId="4" applyNumberFormat="1" applyFill="1" applyBorder="1" applyAlignment="1">
      <alignment horizontal="right" vertical="center" indent="1"/>
    </xf>
    <xf numFmtId="166" fontId="1" fillId="17" borderId="1" xfId="4" applyNumberFormat="1" applyFill="1" applyBorder="1" applyAlignment="1">
      <alignment horizontal="right" vertical="center" indent="1"/>
    </xf>
    <xf numFmtId="166" fontId="1" fillId="17" borderId="24" xfId="4" applyNumberFormat="1" applyFill="1" applyBorder="1" applyAlignment="1">
      <alignment horizontal="right" vertical="center" indent="1"/>
    </xf>
    <xf numFmtId="3" fontId="1" fillId="17" borderId="21" xfId="0" applyNumberFormat="1" applyFont="1" applyFill="1" applyBorder="1" applyAlignment="1">
      <alignment horizontal="right" vertical="center" wrapText="1" indent="2"/>
    </xf>
    <xf numFmtId="3" fontId="1" fillId="17" borderId="22" xfId="0" applyNumberFormat="1" applyFont="1" applyFill="1" applyBorder="1" applyAlignment="1">
      <alignment horizontal="right" vertical="center" wrapText="1" indent="2"/>
    </xf>
    <xf numFmtId="3" fontId="1" fillId="17" borderId="1" xfId="0" applyNumberFormat="1" applyFont="1" applyFill="1" applyBorder="1" applyAlignment="1">
      <alignment horizontal="right" vertical="center" wrapText="1" indent="2"/>
    </xf>
    <xf numFmtId="3" fontId="1" fillId="17" borderId="30" xfId="0" applyNumberFormat="1" applyFont="1" applyFill="1" applyBorder="1" applyAlignment="1">
      <alignment horizontal="right" vertical="center" wrapText="1" indent="2"/>
    </xf>
    <xf numFmtId="3" fontId="1" fillId="17" borderId="24" xfId="0" applyNumberFormat="1" applyFont="1" applyFill="1" applyBorder="1" applyAlignment="1">
      <alignment horizontal="right" vertical="center" wrapText="1" indent="2"/>
    </xf>
    <xf numFmtId="3" fontId="1" fillId="17" borderId="25" xfId="0" applyNumberFormat="1" applyFont="1" applyFill="1" applyBorder="1" applyAlignment="1">
      <alignment horizontal="right" vertical="center" wrapText="1" indent="2"/>
    </xf>
    <xf numFmtId="9" fontId="26" fillId="17" borderId="14" xfId="6" applyFont="1" applyFill="1" applyBorder="1" applyAlignment="1" applyProtection="1">
      <alignment horizontal="center" vertical="center"/>
    </xf>
    <xf numFmtId="9" fontId="26" fillId="17" borderId="11" xfId="6" applyFont="1" applyFill="1" applyBorder="1" applyAlignment="1" applyProtection="1">
      <alignment horizontal="center" vertical="center"/>
    </xf>
    <xf numFmtId="3" fontId="26" fillId="17" borderId="17" xfId="5" applyNumberFormat="1" applyFont="1" applyFill="1" applyBorder="1" applyAlignment="1">
      <alignment horizontal="center" vertical="center"/>
    </xf>
    <xf numFmtId="9" fontId="26" fillId="17" borderId="68" xfId="6" applyFont="1" applyFill="1" applyBorder="1" applyAlignment="1" applyProtection="1">
      <alignment horizontal="center" vertical="center"/>
    </xf>
    <xf numFmtId="3" fontId="26" fillId="17" borderId="69" xfId="5" applyNumberFormat="1" applyFont="1" applyFill="1" applyBorder="1" applyAlignment="1">
      <alignment horizontal="center" vertical="center"/>
    </xf>
    <xf numFmtId="9" fontId="1" fillId="0" borderId="0" xfId="3" applyFont="1" applyAlignment="1" applyProtection="1">
      <alignment horizontal="right" vertical="center" wrapText="1" indent="2"/>
    </xf>
    <xf numFmtId="0" fontId="17" fillId="0" borderId="0" xfId="0" applyFont="1" applyAlignment="1">
      <alignment vertical="center"/>
    </xf>
    <xf numFmtId="2" fontId="11" fillId="0" borderId="0" xfId="0" applyNumberFormat="1" applyFont="1" applyAlignment="1">
      <alignment vertical="center"/>
    </xf>
    <xf numFmtId="0" fontId="46" fillId="0" borderId="0" xfId="0" applyFont="1" applyAlignment="1">
      <alignment horizontal="left" vertical="center"/>
    </xf>
    <xf numFmtId="0" fontId="1" fillId="0" borderId="0" xfId="0" applyFont="1" applyAlignment="1">
      <alignment horizontal="left" vertical="top"/>
    </xf>
    <xf numFmtId="0" fontId="1" fillId="0" borderId="0" xfId="0" applyFont="1" applyAlignment="1">
      <alignment horizontal="left" vertical="center"/>
    </xf>
    <xf numFmtId="168" fontId="1" fillId="0" borderId="0" xfId="0" applyNumberFormat="1" applyFont="1" applyAlignment="1">
      <alignment horizontal="center" vertical="center" wrapText="1"/>
    </xf>
    <xf numFmtId="0" fontId="22" fillId="0" borderId="0" xfId="0" applyFont="1" applyAlignment="1">
      <alignment horizontal="left" vertical="center" wrapText="1" indent="1"/>
    </xf>
    <xf numFmtId="3" fontId="1" fillId="0" borderId="0" xfId="4" applyNumberFormat="1" applyAlignment="1">
      <alignment horizontal="center" vertical="center" wrapText="1"/>
    </xf>
    <xf numFmtId="3" fontId="1" fillId="0" borderId="0" xfId="4" applyNumberFormat="1" applyAlignment="1">
      <alignment vertical="center" wrapText="1"/>
    </xf>
    <xf numFmtId="3" fontId="5" fillId="0" borderId="0" xfId="4" applyNumberFormat="1" applyFont="1" applyAlignment="1">
      <alignment horizontal="left" vertical="center" indent="1"/>
    </xf>
    <xf numFmtId="3" fontId="5" fillId="0" borderId="0" xfId="0" applyNumberFormat="1" applyFont="1" applyAlignment="1">
      <alignment horizontal="left" vertical="center" indent="1"/>
    </xf>
    <xf numFmtId="3" fontId="1" fillId="0" borderId="0" xfId="4" applyNumberFormat="1" applyAlignment="1">
      <alignment horizontal="left" vertical="center" wrapText="1" indent="1"/>
    </xf>
    <xf numFmtId="3" fontId="5" fillId="0" borderId="0" xfId="4" applyNumberFormat="1" applyFont="1" applyAlignment="1">
      <alignment horizontal="right" vertical="center" indent="1"/>
    </xf>
    <xf numFmtId="3" fontId="1" fillId="0" borderId="0" xfId="0" applyNumberFormat="1" applyFont="1" applyAlignment="1">
      <alignment horizontal="right" indent="1"/>
    </xf>
    <xf numFmtId="3" fontId="5" fillId="0" borderId="0" xfId="0" applyNumberFormat="1" applyFont="1" applyAlignment="1">
      <alignment horizontal="right" vertical="center" indent="1"/>
    </xf>
    <xf numFmtId="3" fontId="1" fillId="0" borderId="0" xfId="4" applyNumberFormat="1" applyAlignment="1">
      <alignment horizontal="right" indent="1"/>
    </xf>
    <xf numFmtId="3" fontId="1" fillId="0" borderId="0" xfId="4" applyNumberFormat="1" applyAlignment="1">
      <alignment horizontal="right" vertical="center" wrapText="1" indent="1"/>
    </xf>
    <xf numFmtId="3" fontId="1" fillId="0" borderId="0" xfId="0" applyNumberFormat="1" applyFont="1" applyAlignment="1">
      <alignment horizontal="left" vertical="center" indent="1"/>
    </xf>
    <xf numFmtId="3" fontId="1" fillId="0" borderId="0" xfId="4" applyNumberFormat="1" applyAlignment="1">
      <alignment horizontal="left" vertical="center" indent="1"/>
    </xf>
    <xf numFmtId="0" fontId="5" fillId="0" borderId="0" xfId="4" applyFont="1" applyAlignment="1">
      <alignment horizontal="left" vertical="center" indent="1"/>
    </xf>
    <xf numFmtId="0" fontId="1" fillId="0" borderId="0" xfId="4" applyAlignment="1">
      <alignment horizontal="left" indent="1"/>
    </xf>
    <xf numFmtId="0" fontId="1" fillId="0" borderId="0" xfId="4" applyAlignment="1">
      <alignment horizontal="left" vertical="center" wrapText="1" indent="1"/>
    </xf>
    <xf numFmtId="0" fontId="9" fillId="0" borderId="0" xfId="0" applyFont="1" applyAlignment="1">
      <alignment horizontal="center"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3" fontId="17" fillId="0" borderId="0" xfId="0" applyNumberFormat="1" applyFont="1" applyAlignment="1">
      <alignment horizontal="left" vertical="center" indent="1"/>
    </xf>
    <xf numFmtId="166" fontId="1" fillId="9" borderId="1" xfId="1" applyNumberFormat="1" applyFill="1" applyBorder="1" applyAlignment="1" applyProtection="1">
      <alignment horizontal="right" vertical="center" indent="1"/>
      <protection locked="0"/>
    </xf>
    <xf numFmtId="166" fontId="1" fillId="9" borderId="24" xfId="1" applyNumberFormat="1" applyFill="1" applyBorder="1" applyAlignment="1" applyProtection="1">
      <alignment horizontal="right" vertical="center" indent="1"/>
      <protection locked="0"/>
    </xf>
    <xf numFmtId="166" fontId="30" fillId="4" borderId="20" xfId="1" applyNumberFormat="1" applyFont="1" applyFill="1" applyBorder="1" applyAlignment="1">
      <alignment horizontal="center" vertical="center"/>
    </xf>
    <xf numFmtId="0" fontId="10" fillId="6" borderId="0" xfId="0" applyFont="1" applyFill="1" applyAlignment="1">
      <alignment horizontal="center" vertical="center"/>
    </xf>
    <xf numFmtId="0" fontId="44" fillId="0" borderId="0" xfId="0" applyFont="1" applyAlignment="1">
      <alignment vertical="center"/>
    </xf>
    <xf numFmtId="0" fontId="6" fillId="0" borderId="0" xfId="0" applyFont="1" applyAlignment="1">
      <alignment horizontal="center"/>
    </xf>
    <xf numFmtId="0" fontId="24" fillId="0" borderId="0" xfId="0" applyFont="1" applyAlignment="1">
      <alignment horizontal="left" indent="1"/>
    </xf>
    <xf numFmtId="0" fontId="10" fillId="6" borderId="0" xfId="0" applyFont="1" applyFill="1" applyAlignment="1">
      <alignment vertical="center"/>
    </xf>
    <xf numFmtId="168" fontId="9" fillId="0" borderId="0" xfId="0" applyNumberFormat="1" applyFont="1"/>
    <xf numFmtId="166" fontId="50" fillId="16" borderId="2" xfId="0" applyNumberFormat="1" applyFont="1" applyFill="1" applyBorder="1" applyAlignment="1">
      <alignment horizontal="center" vertical="center"/>
    </xf>
    <xf numFmtId="166" fontId="1" fillId="16" borderId="2" xfId="0" applyNumberFormat="1" applyFont="1" applyFill="1" applyBorder="1" applyAlignment="1">
      <alignment horizontal="left" vertical="center" indent="1"/>
    </xf>
    <xf numFmtId="166" fontId="1" fillId="15" borderId="2" xfId="0" applyNumberFormat="1" applyFont="1" applyFill="1" applyBorder="1" applyAlignment="1">
      <alignment horizontal="left" vertical="center" indent="3"/>
    </xf>
    <xf numFmtId="0" fontId="10" fillId="6" borderId="0" xfId="0" applyFont="1" applyFill="1" applyAlignment="1">
      <alignment horizontal="left" vertical="center"/>
    </xf>
    <xf numFmtId="0" fontId="9" fillId="0" borderId="0" xfId="0" applyFont="1" applyAlignment="1">
      <alignment horizontal="right" indent="1"/>
    </xf>
    <xf numFmtId="0" fontId="5" fillId="4" borderId="1" xfId="0" applyFont="1" applyFill="1" applyBorder="1" applyAlignment="1">
      <alignment horizontal="right" vertical="center" indent="1"/>
    </xf>
    <xf numFmtId="168" fontId="7" fillId="3" borderId="1" xfId="0" applyNumberFormat="1" applyFont="1" applyFill="1" applyBorder="1" applyAlignment="1">
      <alignment horizontal="right" vertical="center" indent="1"/>
    </xf>
    <xf numFmtId="169" fontId="7" fillId="3" borderId="1" xfId="0" applyNumberFormat="1" applyFont="1" applyFill="1" applyBorder="1" applyAlignment="1">
      <alignment horizontal="right" vertical="center" indent="1"/>
    </xf>
    <xf numFmtId="167" fontId="7" fillId="3" borderId="1" xfId="0" applyNumberFormat="1" applyFont="1" applyFill="1" applyBorder="1" applyAlignment="1">
      <alignment horizontal="right" vertical="center" indent="1"/>
    </xf>
    <xf numFmtId="0" fontId="5" fillId="4" borderId="1" xfId="0" applyFont="1" applyFill="1" applyBorder="1" applyAlignment="1">
      <alignment horizontal="center" vertical="center"/>
    </xf>
    <xf numFmtId="0" fontId="7" fillId="0" borderId="0" xfId="0" applyFont="1" applyAlignment="1">
      <alignment vertical="top" wrapText="1"/>
    </xf>
    <xf numFmtId="167" fontId="7" fillId="4" borderId="7" xfId="0" applyNumberFormat="1" applyFont="1" applyFill="1" applyBorder="1" applyAlignment="1">
      <alignment horizontal="right" vertical="center" wrapText="1" indent="2"/>
    </xf>
    <xf numFmtId="3" fontId="1" fillId="0" borderId="0" xfId="0" applyNumberFormat="1" applyFont="1"/>
    <xf numFmtId="0" fontId="9" fillId="0" borderId="79" xfId="0" applyFont="1" applyBorder="1" applyAlignment="1">
      <alignment horizontal="left" vertical="center"/>
    </xf>
    <xf numFmtId="0" fontId="9" fillId="0" borderId="0" xfId="0" applyFont="1" applyAlignment="1">
      <alignment horizontal="left" vertical="center"/>
    </xf>
    <xf numFmtId="0" fontId="9" fillId="0" borderId="80" xfId="0" applyFont="1" applyBorder="1" applyAlignment="1">
      <alignment horizontal="left" vertical="center"/>
    </xf>
    <xf numFmtId="0" fontId="1" fillId="4" borderId="1" xfId="0" applyFont="1" applyFill="1" applyBorder="1" applyAlignment="1">
      <alignment horizontal="left" vertical="center" indent="1"/>
    </xf>
    <xf numFmtId="166" fontId="54" fillId="9" borderId="1" xfId="0" applyNumberFormat="1" applyFont="1" applyFill="1" applyBorder="1" applyAlignment="1" applyProtection="1">
      <alignment vertical="center" wrapText="1"/>
      <protection locked="0"/>
    </xf>
    <xf numFmtId="0" fontId="13" fillId="0" borderId="0" xfId="0" applyFont="1" applyAlignment="1">
      <alignment horizontal="right" vertical="center" indent="1"/>
    </xf>
    <xf numFmtId="166" fontId="13" fillId="3" borderId="1" xfId="0" applyNumberFormat="1" applyFont="1" applyFill="1" applyBorder="1" applyAlignment="1">
      <alignment horizontal="right" vertical="center" wrapText="1" indent="1"/>
    </xf>
    <xf numFmtId="166" fontId="13" fillId="3" borderId="1" xfId="0" applyNumberFormat="1" applyFont="1" applyFill="1" applyBorder="1" applyAlignment="1">
      <alignment vertical="center" wrapText="1"/>
    </xf>
    <xf numFmtId="166" fontId="23" fillId="0" borderId="0" xfId="0" applyNumberFormat="1" applyFont="1" applyAlignment="1">
      <alignment horizontal="left" vertical="center" indent="1"/>
    </xf>
    <xf numFmtId="166" fontId="54" fillId="9" borderId="1" xfId="0" applyNumberFormat="1" applyFont="1" applyFill="1" applyBorder="1" applyAlignment="1" applyProtection="1">
      <alignment horizontal="right" vertical="center" wrapText="1"/>
      <protection locked="0"/>
    </xf>
    <xf numFmtId="0" fontId="1" fillId="4" borderId="1" xfId="0" applyFont="1" applyFill="1" applyBorder="1" applyAlignment="1">
      <alignment vertical="center"/>
    </xf>
    <xf numFmtId="166" fontId="13" fillId="3" borderId="1" xfId="0" applyNumberFormat="1" applyFont="1" applyFill="1" applyBorder="1" applyAlignment="1">
      <alignment horizontal="right" vertical="center" wrapText="1"/>
    </xf>
    <xf numFmtId="0" fontId="53" fillId="0" borderId="0" xfId="0" applyFont="1" applyAlignment="1">
      <alignment horizontal="center" vertical="center"/>
    </xf>
    <xf numFmtId="3" fontId="38" fillId="0" borderId="0" xfId="0" applyNumberFormat="1" applyFont="1" applyAlignment="1">
      <alignment horizontal="center" vertical="center"/>
    </xf>
    <xf numFmtId="166" fontId="37" fillId="0" borderId="0" xfId="0" applyNumberFormat="1" applyFont="1" applyAlignment="1">
      <alignment horizontal="right" vertical="center"/>
    </xf>
    <xf numFmtId="0" fontId="29" fillId="0" borderId="0" xfId="0" applyFont="1"/>
    <xf numFmtId="0" fontId="52" fillId="0" borderId="0" xfId="0" applyFont="1" applyAlignment="1">
      <alignment vertical="center"/>
    </xf>
    <xf numFmtId="164" fontId="5" fillId="14" borderId="1" xfId="0" applyNumberFormat="1" applyFont="1" applyFill="1" applyBorder="1" applyAlignment="1">
      <alignment horizontal="center" vertical="center"/>
    </xf>
    <xf numFmtId="0" fontId="1" fillId="17" borderId="1" xfId="4" applyFill="1" applyBorder="1"/>
    <xf numFmtId="0" fontId="37" fillId="0" borderId="0" xfId="4" applyFont="1" applyAlignment="1">
      <alignment horizontal="center" vertical="center"/>
    </xf>
    <xf numFmtId="0" fontId="38" fillId="0" borderId="0" xfId="4" applyFont="1"/>
    <xf numFmtId="3" fontId="38" fillId="0" borderId="0" xfId="4" applyNumberFormat="1" applyFont="1" applyAlignment="1">
      <alignment horizontal="left" vertical="center" indent="1"/>
    </xf>
    <xf numFmtId="3" fontId="38" fillId="0" borderId="0" xfId="4" applyNumberFormat="1" applyFont="1" applyAlignment="1">
      <alignment horizontal="right" indent="1"/>
    </xf>
    <xf numFmtId="0" fontId="38" fillId="0" borderId="0" xfId="4" applyFont="1" applyAlignment="1">
      <alignment horizontal="left" indent="1"/>
    </xf>
    <xf numFmtId="0" fontId="48" fillId="0" borderId="0" xfId="0" applyFont="1" applyAlignment="1">
      <alignment horizontal="center" vertical="center"/>
    </xf>
    <xf numFmtId="0" fontId="45" fillId="18" borderId="0" xfId="0" applyFont="1" applyFill="1" applyAlignment="1">
      <alignment horizontal="center" vertical="center"/>
    </xf>
    <xf numFmtId="166" fontId="9" fillId="0" borderId="0" xfId="0" applyNumberFormat="1" applyFont="1" applyAlignment="1">
      <alignment horizontal="left" vertical="center" indent="1"/>
    </xf>
    <xf numFmtId="166" fontId="23" fillId="0" borderId="0" xfId="0" applyNumberFormat="1" applyFont="1" applyAlignment="1">
      <alignment horizontal="left" vertical="top" indent="1"/>
    </xf>
    <xf numFmtId="166" fontId="29" fillId="0" borderId="0" xfId="0" applyNumberFormat="1" applyFont="1" applyAlignment="1">
      <alignment horizontal="left" vertical="center" indent="1"/>
    </xf>
    <xf numFmtId="166" fontId="43" fillId="0" borderId="0" xfId="0" applyNumberFormat="1" applyFont="1" applyAlignment="1">
      <alignment horizontal="left" vertical="center" indent="1"/>
    </xf>
    <xf numFmtId="166" fontId="9" fillId="0" borderId="0" xfId="0" applyNumberFormat="1" applyFont="1" applyAlignment="1">
      <alignment horizontal="left" indent="1"/>
    </xf>
    <xf numFmtId="0" fontId="53" fillId="0" borderId="0" xfId="0" applyFont="1" applyAlignment="1">
      <alignment horizontal="left" vertical="center" indent="1"/>
    </xf>
    <xf numFmtId="166" fontId="7" fillId="9" borderId="1" xfId="0" applyNumberFormat="1" applyFont="1" applyFill="1" applyBorder="1" applyAlignment="1" applyProtection="1">
      <alignment horizontal="right" vertical="center" indent="2"/>
      <protection locked="0"/>
    </xf>
    <xf numFmtId="166" fontId="7" fillId="3" borderId="1" xfId="0" applyNumberFormat="1" applyFont="1" applyFill="1" applyBorder="1" applyAlignment="1">
      <alignment horizontal="right" vertical="center" indent="1"/>
    </xf>
    <xf numFmtId="166" fontId="1" fillId="4" borderId="44" xfId="1" applyNumberFormat="1" applyFill="1" applyBorder="1" applyAlignment="1">
      <alignment horizontal="right" vertical="center" indent="1"/>
    </xf>
    <xf numFmtId="166" fontId="1" fillId="4" borderId="2" xfId="1" applyNumberFormat="1" applyFill="1" applyBorder="1" applyAlignment="1">
      <alignment horizontal="right" vertical="center" indent="1"/>
    </xf>
    <xf numFmtId="166" fontId="1" fillId="4" borderId="66" xfId="1" applyNumberFormat="1" applyFill="1" applyBorder="1" applyAlignment="1">
      <alignment horizontal="right" vertical="center" indent="1"/>
    </xf>
    <xf numFmtId="0" fontId="13" fillId="6" borderId="46" xfId="4" applyFont="1" applyFill="1" applyBorder="1" applyAlignment="1">
      <alignment horizontal="center" vertical="center" wrapText="1"/>
    </xf>
    <xf numFmtId="0" fontId="4" fillId="5" borderId="5" xfId="4" applyFont="1" applyFill="1" applyBorder="1" applyAlignment="1">
      <alignment horizontal="center" vertical="center"/>
    </xf>
    <xf numFmtId="0" fontId="13" fillId="6" borderId="22" xfId="4" applyFont="1" applyFill="1" applyBorder="1" applyAlignment="1">
      <alignment horizontal="center" vertical="center" wrapText="1"/>
    </xf>
    <xf numFmtId="9" fontId="1" fillId="0" borderId="56" xfId="3" applyFont="1" applyBorder="1" applyAlignment="1" applyProtection="1">
      <alignment horizontal="right" vertical="center" wrapText="1" indent="1"/>
    </xf>
    <xf numFmtId="9" fontId="1" fillId="0" borderId="70" xfId="3" applyFont="1" applyBorder="1" applyAlignment="1" applyProtection="1">
      <alignment horizontal="right" vertical="center" wrapText="1" indent="1"/>
    </xf>
    <xf numFmtId="9" fontId="1" fillId="0" borderId="60" xfId="3" applyFont="1" applyBorder="1" applyAlignment="1" applyProtection="1">
      <alignment horizontal="right" vertical="center" wrapText="1" indent="1"/>
    </xf>
    <xf numFmtId="9" fontId="1" fillId="0" borderId="78" xfId="3" applyFont="1" applyBorder="1" applyAlignment="1" applyProtection="1">
      <alignment horizontal="right" vertical="center" wrapText="1" indent="1"/>
    </xf>
    <xf numFmtId="9" fontId="1" fillId="0" borderId="0" xfId="3" applyFont="1" applyBorder="1" applyAlignment="1" applyProtection="1">
      <alignment horizontal="right" vertical="center" wrapText="1" indent="1"/>
    </xf>
    <xf numFmtId="9" fontId="1" fillId="0" borderId="81" xfId="3" applyFont="1" applyBorder="1" applyAlignment="1" applyProtection="1">
      <alignment horizontal="right" vertical="center" wrapText="1" indent="1"/>
    </xf>
    <xf numFmtId="9" fontId="1" fillId="0" borderId="57" xfId="3" applyFont="1" applyBorder="1" applyAlignment="1" applyProtection="1">
      <alignment horizontal="right" vertical="center" wrapText="1" indent="1"/>
    </xf>
    <xf numFmtId="9" fontId="1" fillId="0" borderId="82" xfId="3" applyFont="1" applyBorder="1" applyAlignment="1" applyProtection="1">
      <alignment horizontal="right" vertical="center" wrapText="1" indent="1"/>
    </xf>
    <xf numFmtId="9" fontId="1" fillId="0" borderId="61" xfId="3" applyFont="1" applyBorder="1" applyAlignment="1" applyProtection="1">
      <alignment horizontal="right" vertical="center" wrapText="1" indent="1"/>
    </xf>
    <xf numFmtId="3" fontId="1" fillId="17" borderId="44" xfId="0" applyNumberFormat="1" applyFont="1" applyFill="1" applyBorder="1" applyAlignment="1">
      <alignment horizontal="right" vertical="center" wrapText="1" indent="2"/>
    </xf>
    <xf numFmtId="3" fontId="1" fillId="17" borderId="2" xfId="0" applyNumberFormat="1" applyFont="1" applyFill="1" applyBorder="1" applyAlignment="1">
      <alignment horizontal="right" vertical="center" wrapText="1" indent="2"/>
    </xf>
    <xf numFmtId="3" fontId="1" fillId="17" borderId="66" xfId="0" applyNumberFormat="1" applyFont="1" applyFill="1" applyBorder="1" applyAlignment="1">
      <alignment horizontal="right" vertical="center" wrapText="1" indent="2"/>
    </xf>
    <xf numFmtId="3" fontId="29" fillId="0" borderId="0" xfId="0" applyNumberFormat="1" applyFont="1" applyAlignment="1">
      <alignment horizontal="right" vertical="center" indent="1"/>
    </xf>
    <xf numFmtId="4" fontId="1" fillId="17" borderId="21" xfId="4" applyNumberFormat="1" applyFill="1" applyBorder="1" applyAlignment="1">
      <alignment horizontal="right" vertical="center" wrapText="1" indent="1"/>
    </xf>
    <xf numFmtId="4" fontId="1" fillId="17" borderId="1" xfId="4" applyNumberFormat="1" applyFill="1" applyBorder="1" applyAlignment="1">
      <alignment horizontal="right" vertical="center" wrapText="1" indent="1"/>
    </xf>
    <xf numFmtId="171" fontId="1" fillId="13" borderId="1" xfId="4" applyNumberFormat="1" applyFill="1" applyBorder="1" applyAlignment="1">
      <alignment horizontal="right" vertical="center" wrapText="1" indent="1"/>
    </xf>
    <xf numFmtId="3" fontId="1" fillId="17" borderId="1" xfId="4" applyNumberFormat="1" applyFill="1" applyBorder="1" applyAlignment="1">
      <alignment horizontal="right" vertical="center" wrapText="1" indent="1"/>
    </xf>
    <xf numFmtId="164" fontId="1" fillId="17" borderId="1" xfId="1" applyNumberFormat="1" applyFill="1" applyBorder="1" applyAlignment="1">
      <alignment horizontal="center" vertical="center" wrapText="1"/>
    </xf>
    <xf numFmtId="164" fontId="1" fillId="13" borderId="1" xfId="1" applyNumberFormat="1" applyFill="1" applyBorder="1" applyAlignment="1">
      <alignment horizontal="center" vertical="center" wrapText="1"/>
    </xf>
    <xf numFmtId="0" fontId="1" fillId="0" borderId="0" xfId="4" applyAlignment="1">
      <alignment horizontal="left" indent="3"/>
    </xf>
    <xf numFmtId="9" fontId="7" fillId="17" borderId="1" xfId="4" applyNumberFormat="1" applyFont="1" applyFill="1" applyBorder="1" applyAlignment="1">
      <alignment horizontal="center" vertical="center"/>
    </xf>
    <xf numFmtId="0" fontId="5" fillId="17" borderId="1" xfId="0" applyFont="1" applyFill="1" applyBorder="1" applyAlignment="1">
      <alignment vertical="center"/>
    </xf>
    <xf numFmtId="0" fontId="5" fillId="17" borderId="1" xfId="0" applyFont="1" applyFill="1" applyBorder="1" applyAlignment="1">
      <alignment horizontal="center" vertical="center"/>
    </xf>
    <xf numFmtId="0" fontId="34" fillId="0" borderId="0" xfId="0" applyFont="1" applyAlignment="1">
      <alignment horizontal="left" vertical="center" indent="1"/>
    </xf>
    <xf numFmtId="49" fontId="42" fillId="0" borderId="0" xfId="0" applyNumberFormat="1" applyFont="1" applyAlignment="1">
      <alignment horizontal="left" vertical="top"/>
    </xf>
    <xf numFmtId="0" fontId="34" fillId="0" borderId="0" xfId="0" applyFont="1" applyAlignment="1">
      <alignment vertical="center"/>
    </xf>
    <xf numFmtId="3" fontId="37" fillId="0" borderId="0" xfId="0" applyNumberFormat="1" applyFont="1" applyAlignment="1">
      <alignment horizontal="center" vertical="center"/>
    </xf>
    <xf numFmtId="0" fontId="34" fillId="0" borderId="0" xfId="0" applyFont="1" applyAlignment="1">
      <alignment horizontal="left" vertical="center"/>
    </xf>
    <xf numFmtId="4" fontId="34" fillId="0" borderId="0" xfId="0" applyNumberFormat="1" applyFont="1" applyAlignment="1">
      <alignment horizontal="center" vertical="center"/>
    </xf>
    <xf numFmtId="168" fontId="34" fillId="0" borderId="0" xfId="0" applyNumberFormat="1" applyFont="1" applyAlignment="1">
      <alignment horizontal="center" vertical="center"/>
    </xf>
    <xf numFmtId="168" fontId="57" fillId="0" borderId="0" xfId="0" applyNumberFormat="1" applyFont="1" applyAlignment="1">
      <alignment horizontal="center" vertical="center"/>
    </xf>
    <xf numFmtId="0" fontId="38" fillId="0" borderId="0" xfId="0" applyFont="1" applyAlignment="1">
      <alignment vertical="top"/>
    </xf>
    <xf numFmtId="0" fontId="58" fillId="0" borderId="0" xfId="0" applyFont="1" applyAlignment="1">
      <alignment vertical="center"/>
    </xf>
    <xf numFmtId="0" fontId="38" fillId="0" borderId="0" xfId="0" applyFont="1" applyAlignment="1">
      <alignment vertical="center" wrapText="1"/>
    </xf>
    <xf numFmtId="0" fontId="38" fillId="2" borderId="0" xfId="0" applyFont="1" applyFill="1" applyAlignment="1">
      <alignment vertical="center"/>
    </xf>
    <xf numFmtId="0" fontId="59" fillId="0" borderId="0" xfId="0" applyFont="1" applyAlignment="1">
      <alignment horizontal="right" vertical="center" indent="1"/>
    </xf>
    <xf numFmtId="165" fontId="34" fillId="0" borderId="0" xfId="0" applyNumberFormat="1" applyFont="1" applyAlignment="1">
      <alignment horizontal="center" vertical="center"/>
    </xf>
    <xf numFmtId="0" fontId="37" fillId="0" borderId="0" xfId="2" applyFont="1" applyAlignment="1">
      <alignment horizontal="center" vertical="center" wrapText="1"/>
    </xf>
    <xf numFmtId="166" fontId="37" fillId="0" borderId="0" xfId="0" applyNumberFormat="1" applyFont="1" applyAlignment="1">
      <alignment horizontal="left" vertical="center" indent="1"/>
    </xf>
    <xf numFmtId="166" fontId="34" fillId="0" borderId="0" xfId="0" applyNumberFormat="1" applyFont="1" applyAlignment="1">
      <alignment horizontal="left" vertical="center" indent="1"/>
    </xf>
    <xf numFmtId="166" fontId="37" fillId="0" borderId="0" xfId="0" applyNumberFormat="1" applyFont="1" applyAlignment="1">
      <alignment horizontal="center" vertical="center"/>
    </xf>
    <xf numFmtId="166" fontId="37" fillId="0" borderId="0" xfId="0" applyNumberFormat="1" applyFont="1" applyAlignment="1">
      <alignment horizontal="right" vertical="top"/>
    </xf>
    <xf numFmtId="166" fontId="42" fillId="0" borderId="0" xfId="0" applyNumberFormat="1" applyFont="1" applyAlignment="1">
      <alignment horizontal="right" vertical="center" wrapText="1"/>
    </xf>
    <xf numFmtId="166" fontId="42" fillId="0" borderId="0" xfId="0" applyNumberFormat="1" applyFont="1" applyAlignment="1">
      <alignment horizontal="right" vertical="top" indent="1"/>
    </xf>
    <xf numFmtId="166" fontId="42" fillId="0" borderId="0" xfId="0" applyNumberFormat="1" applyFont="1" applyAlignment="1">
      <alignment horizontal="right" vertical="top" wrapText="1"/>
    </xf>
    <xf numFmtId="166" fontId="37" fillId="0" borderId="0" xfId="0" applyNumberFormat="1" applyFont="1" applyAlignment="1">
      <alignment horizontal="right" vertical="top" wrapText="1"/>
    </xf>
    <xf numFmtId="3" fontId="58" fillId="0" borderId="0" xfId="0" applyNumberFormat="1" applyFont="1" applyAlignment="1">
      <alignment vertical="center"/>
    </xf>
    <xf numFmtId="0" fontId="38" fillId="0" borderId="5" xfId="0" applyFont="1" applyBorder="1" applyAlignment="1">
      <alignment vertical="center"/>
    </xf>
    <xf numFmtId="0" fontId="60" fillId="0" borderId="0" xfId="0" applyFont="1" applyAlignment="1">
      <alignment vertical="center"/>
    </xf>
    <xf numFmtId="166" fontId="38" fillId="0" borderId="0" xfId="0" applyNumberFormat="1" applyFont="1" applyAlignment="1">
      <alignment horizontal="center" vertical="center"/>
    </xf>
    <xf numFmtId="0" fontId="56" fillId="0" borderId="0" xfId="0" applyFont="1" applyAlignment="1">
      <alignment horizontal="center" vertical="center"/>
    </xf>
    <xf numFmtId="166" fontId="56" fillId="0" borderId="0" xfId="0" applyNumberFormat="1" applyFont="1" applyAlignment="1">
      <alignment horizontal="center" vertical="center"/>
    </xf>
    <xf numFmtId="49" fontId="5" fillId="9" borderId="1" xfId="0" applyNumberFormat="1" applyFont="1" applyFill="1" applyBorder="1" applyAlignment="1" applyProtection="1">
      <alignment horizontal="center" vertical="center" wrapText="1"/>
      <protection locked="0"/>
    </xf>
    <xf numFmtId="0" fontId="1" fillId="4" borderId="21" xfId="4" applyFill="1" applyBorder="1" applyAlignment="1">
      <alignment horizontal="left" vertical="center" wrapText="1" indent="1"/>
    </xf>
    <xf numFmtId="0" fontId="1" fillId="4" borderId="1" xfId="4" applyFill="1" applyBorder="1" applyAlignment="1">
      <alignment horizontal="left" vertical="center" wrapText="1" indent="1"/>
    </xf>
    <xf numFmtId="0" fontId="1" fillId="4" borderId="24" xfId="4" applyFill="1" applyBorder="1" applyAlignment="1">
      <alignment horizontal="left" vertical="center" wrapText="1" indent="1"/>
    </xf>
    <xf numFmtId="4" fontId="1" fillId="17" borderId="24" xfId="4" applyNumberFormat="1" applyFill="1" applyBorder="1" applyAlignment="1">
      <alignment horizontal="right" vertical="center" wrapText="1" indent="1"/>
    </xf>
    <xf numFmtId="0" fontId="1" fillId="4" borderId="23" xfId="4" applyFill="1" applyBorder="1" applyAlignment="1">
      <alignment horizontal="right" vertical="center" wrapText="1" indent="1"/>
    </xf>
    <xf numFmtId="0" fontId="5" fillId="12" borderId="1" xfId="0" applyFont="1" applyFill="1" applyBorder="1" applyAlignment="1">
      <alignment horizontal="left" vertical="center" indent="1"/>
    </xf>
    <xf numFmtId="0" fontId="5" fillId="12" borderId="1" xfId="0" applyFont="1" applyFill="1" applyBorder="1" applyAlignment="1">
      <alignment horizontal="left" vertical="center" wrapText="1" indent="1"/>
    </xf>
    <xf numFmtId="0" fontId="13" fillId="19" borderId="1" xfId="0" applyFont="1" applyFill="1" applyBorder="1" applyAlignment="1">
      <alignment horizontal="center" vertical="center"/>
    </xf>
    <xf numFmtId="0" fontId="13" fillId="0" borderId="0" xfId="0" applyFont="1" applyAlignment="1">
      <alignment horizontal="center" vertical="center"/>
    </xf>
    <xf numFmtId="166" fontId="1" fillId="9" borderId="1" xfId="0" applyNumberFormat="1" applyFont="1" applyFill="1" applyBorder="1" applyAlignment="1" applyProtection="1">
      <alignment horizontal="left" vertical="center" indent="1"/>
      <protection locked="0"/>
    </xf>
    <xf numFmtId="172" fontId="1" fillId="17" borderId="1" xfId="4" applyNumberFormat="1" applyFill="1" applyBorder="1" applyAlignment="1">
      <alignment horizontal="right" vertical="center" wrapText="1" indent="1"/>
    </xf>
    <xf numFmtId="3" fontId="26" fillId="17" borderId="15" xfId="5" applyNumberFormat="1" applyFont="1" applyFill="1" applyBorder="1" applyAlignment="1">
      <alignment horizontal="center" vertical="center"/>
    </xf>
    <xf numFmtId="2" fontId="8" fillId="0" borderId="0" xfId="0" applyNumberFormat="1" applyFont="1" applyAlignment="1">
      <alignment horizontal="center" vertical="center"/>
    </xf>
    <xf numFmtId="0" fontId="13" fillId="6" borderId="83" xfId="4" applyFont="1" applyFill="1" applyBorder="1" applyAlignment="1">
      <alignment horizontal="center" vertical="center" wrapText="1"/>
    </xf>
    <xf numFmtId="0" fontId="1" fillId="0" borderId="56" xfId="4" applyBorder="1" applyAlignment="1">
      <alignment vertical="center" wrapText="1"/>
    </xf>
    <xf numFmtId="0" fontId="1" fillId="0" borderId="70" xfId="4" applyBorder="1" applyAlignment="1">
      <alignment vertical="center" wrapText="1"/>
    </xf>
    <xf numFmtId="0" fontId="1" fillId="0" borderId="60" xfId="4" applyBorder="1" applyAlignment="1">
      <alignment vertical="center" wrapText="1"/>
    </xf>
    <xf numFmtId="0" fontId="55" fillId="3" borderId="0" xfId="0" applyFont="1" applyFill="1" applyAlignment="1">
      <alignment horizontal="center" vertical="center" wrapText="1"/>
    </xf>
    <xf numFmtId="0" fontId="7" fillId="0" borderId="0" xfId="0" applyFont="1" applyAlignment="1">
      <alignment vertical="center" wrapText="1"/>
    </xf>
    <xf numFmtId="0" fontId="55" fillId="3" borderId="79" xfId="0" applyFont="1" applyFill="1" applyBorder="1" applyAlignment="1">
      <alignment vertical="center" wrapText="1"/>
    </xf>
    <xf numFmtId="0" fontId="1" fillId="4" borderId="51" xfId="0" applyFont="1" applyFill="1" applyBorder="1" applyAlignment="1">
      <alignment horizontal="center" vertical="center"/>
    </xf>
    <xf numFmtId="0" fontId="24" fillId="0" borderId="0" xfId="0" applyFont="1"/>
    <xf numFmtId="0" fontId="53" fillId="0" borderId="70" xfId="0" applyFont="1" applyBorder="1" applyAlignment="1">
      <alignment horizontal="center" vertical="center"/>
    </xf>
    <xf numFmtId="166" fontId="1" fillId="9" borderId="2" xfId="0" applyNumberFormat="1" applyFont="1" applyFill="1" applyBorder="1" applyAlignment="1" applyProtection="1">
      <alignment horizontal="left" vertical="center" indent="1"/>
      <protection locked="0"/>
    </xf>
    <xf numFmtId="164" fontId="1" fillId="9" borderId="1" xfId="0" applyNumberFormat="1" applyFont="1" applyFill="1" applyBorder="1" applyAlignment="1" applyProtection="1">
      <alignment horizontal="right" vertical="center" indent="1"/>
      <protection locked="0"/>
    </xf>
    <xf numFmtId="166" fontId="1" fillId="15" borderId="2" xfId="0" applyNumberFormat="1" applyFont="1" applyFill="1" applyBorder="1" applyAlignment="1" applyProtection="1">
      <alignment horizontal="left" vertical="center" indent="1"/>
      <protection locked="0"/>
    </xf>
    <xf numFmtId="164" fontId="1" fillId="15" borderId="1" xfId="0" applyNumberFormat="1" applyFont="1" applyFill="1" applyBorder="1" applyAlignment="1" applyProtection="1">
      <alignment horizontal="right" vertical="center" indent="1"/>
      <protection locked="0"/>
    </xf>
    <xf numFmtId="166" fontId="1" fillId="15" borderId="1" xfId="0" applyNumberFormat="1" applyFont="1" applyFill="1" applyBorder="1" applyAlignment="1" applyProtection="1">
      <alignment horizontal="left" vertical="center" indent="1"/>
      <protection locked="0"/>
    </xf>
    <xf numFmtId="166" fontId="1" fillId="15" borderId="2" xfId="0" applyNumberFormat="1" applyFont="1" applyFill="1" applyBorder="1" applyAlignment="1" applyProtection="1">
      <alignment horizontal="center" vertical="center"/>
      <protection locked="0"/>
    </xf>
    <xf numFmtId="9" fontId="1" fillId="15" borderId="1" xfId="3" applyFont="1" applyFill="1" applyBorder="1" applyAlignment="1" applyProtection="1">
      <alignment horizontal="right" vertical="center" indent="1"/>
      <protection locked="0"/>
    </xf>
    <xf numFmtId="9" fontId="1" fillId="15" borderId="1" xfId="3" applyFont="1" applyFill="1" applyBorder="1" applyAlignment="1" applyProtection="1">
      <alignment horizontal="right" vertical="center"/>
      <protection locked="0"/>
    </xf>
    <xf numFmtId="14" fontId="5" fillId="9" borderId="1" xfId="0" applyNumberFormat="1" applyFont="1" applyFill="1" applyBorder="1" applyAlignment="1" applyProtection="1">
      <alignment horizontal="center" vertical="center"/>
      <protection locked="0"/>
    </xf>
    <xf numFmtId="49" fontId="5" fillId="9" borderId="1" xfId="0" applyNumberFormat="1" applyFont="1" applyFill="1" applyBorder="1" applyAlignment="1" applyProtection="1">
      <alignment horizontal="center" vertical="center"/>
      <protection locked="0"/>
    </xf>
    <xf numFmtId="44" fontId="0" fillId="0" borderId="0" xfId="7" applyFont="1"/>
    <xf numFmtId="9" fontId="0" fillId="0" borderId="0" xfId="0" applyNumberFormat="1"/>
    <xf numFmtId="44" fontId="0" fillId="0" borderId="0" xfId="0" applyNumberFormat="1"/>
    <xf numFmtId="0" fontId="5" fillId="0" borderId="0" xfId="0" applyFont="1" applyAlignment="1">
      <alignment horizontal="left" vertical="center" wrapText="1" indent="1"/>
    </xf>
    <xf numFmtId="0" fontId="6" fillId="0" borderId="0" xfId="0" applyFont="1" applyAlignment="1">
      <alignment horizontal="center" vertical="center" wrapText="1"/>
    </xf>
    <xf numFmtId="0" fontId="7" fillId="0" borderId="0" xfId="0" applyFont="1" applyAlignment="1">
      <alignment horizontal="right" vertical="center" wrapText="1" indent="1"/>
    </xf>
    <xf numFmtId="0" fontId="10" fillId="6" borderId="0" xfId="0" applyFont="1" applyFill="1" applyAlignment="1">
      <alignment horizontal="center" vertical="center"/>
    </xf>
    <xf numFmtId="0" fontId="5" fillId="0" borderId="0" xfId="0" applyFont="1" applyAlignment="1">
      <alignment horizontal="center" vertical="center" wrapText="1"/>
    </xf>
    <xf numFmtId="0" fontId="1" fillId="4" borderId="2" xfId="0" applyFont="1" applyFill="1" applyBorder="1" applyAlignment="1">
      <alignment horizontal="left" vertical="center" wrapText="1" indent="1"/>
    </xf>
    <xf numFmtId="0" fontId="1" fillId="4" borderId="7" xfId="0" applyFont="1" applyFill="1" applyBorder="1" applyAlignment="1">
      <alignment horizontal="left" vertical="center" wrapText="1" indent="1"/>
    </xf>
    <xf numFmtId="0" fontId="5" fillId="9" borderId="1" xfId="0" applyFont="1" applyFill="1" applyBorder="1" applyAlignment="1" applyProtection="1">
      <alignment horizontal="left" vertical="center" indent="1"/>
      <protection locked="0"/>
    </xf>
    <xf numFmtId="0" fontId="1" fillId="9" borderId="2" xfId="0" applyFont="1" applyFill="1" applyBorder="1" applyAlignment="1" applyProtection="1">
      <alignment horizontal="left" vertical="top" wrapText="1" indent="1"/>
      <protection locked="0"/>
    </xf>
    <xf numFmtId="0" fontId="1" fillId="9" borderId="6" xfId="0" applyFont="1" applyFill="1" applyBorder="1" applyAlignment="1" applyProtection="1">
      <alignment horizontal="left" vertical="top" wrapText="1" indent="1"/>
      <protection locked="0"/>
    </xf>
    <xf numFmtId="0" fontId="1" fillId="9" borderId="7" xfId="0" applyFont="1" applyFill="1" applyBorder="1" applyAlignment="1" applyProtection="1">
      <alignment horizontal="left" vertical="top" wrapText="1" indent="1"/>
      <protection locked="0"/>
    </xf>
    <xf numFmtId="0" fontId="17" fillId="0" borderId="0" xfId="0" applyFont="1" applyAlignment="1">
      <alignment vertical="center" wrapText="1"/>
    </xf>
    <xf numFmtId="0" fontId="7" fillId="0" borderId="49" xfId="0" applyFont="1" applyBorder="1" applyAlignment="1">
      <alignment horizontal="center" vertical="center" wrapText="1"/>
    </xf>
    <xf numFmtId="0" fontId="7" fillId="0" borderId="0" xfId="0" applyFont="1" applyAlignment="1">
      <alignment horizontal="center" vertical="center" wrapText="1"/>
    </xf>
    <xf numFmtId="0" fontId="7" fillId="0" borderId="50" xfId="0" applyFont="1" applyBorder="1" applyAlignment="1">
      <alignment horizontal="center" vertical="center" wrapText="1"/>
    </xf>
    <xf numFmtId="0" fontId="7" fillId="0" borderId="0" xfId="0" applyFont="1" applyAlignment="1">
      <alignment horizontal="center" vertical="center"/>
    </xf>
    <xf numFmtId="0" fontId="23" fillId="0" borderId="79" xfId="0" applyFont="1" applyBorder="1" applyAlignment="1">
      <alignment horizontal="left" vertical="center" wrapText="1" indent="1"/>
    </xf>
    <xf numFmtId="0" fontId="23" fillId="0" borderId="0" xfId="0" applyFont="1" applyAlignment="1">
      <alignment horizontal="left" vertical="center" wrapText="1" indent="1"/>
    </xf>
    <xf numFmtId="0" fontId="23" fillId="0" borderId="80" xfId="0" applyFont="1" applyBorder="1" applyAlignment="1">
      <alignment horizontal="left" vertical="center" wrapText="1" indent="1"/>
    </xf>
    <xf numFmtId="0" fontId="7" fillId="0" borderId="48" xfId="0" applyFont="1" applyBorder="1" applyAlignment="1">
      <alignment horizontal="center" vertical="center" wrapText="1"/>
    </xf>
    <xf numFmtId="49" fontId="5" fillId="9" borderId="1" xfId="0" applyNumberFormat="1" applyFont="1" applyFill="1" applyBorder="1" applyAlignment="1" applyProtection="1">
      <alignment horizontal="left" vertical="center" indent="1"/>
      <protection locked="0"/>
    </xf>
    <xf numFmtId="0" fontId="29" fillId="0" borderId="0" xfId="0" applyFont="1" applyAlignment="1">
      <alignment horizontal="center" textRotation="90" wrapText="1"/>
    </xf>
    <xf numFmtId="0" fontId="6" fillId="0" borderId="0" xfId="0" applyFont="1" applyAlignment="1">
      <alignment horizontal="center" vertical="top" wrapText="1"/>
    </xf>
    <xf numFmtId="49" fontId="5" fillId="9" borderId="2" xfId="0" applyNumberFormat="1" applyFont="1" applyFill="1" applyBorder="1" applyAlignment="1" applyProtection="1">
      <alignment horizontal="left" vertical="center" indent="1"/>
      <protection locked="0"/>
    </xf>
    <xf numFmtId="49" fontId="5" fillId="9" borderId="7" xfId="0" applyNumberFormat="1" applyFont="1" applyFill="1" applyBorder="1" applyAlignment="1" applyProtection="1">
      <alignment horizontal="left" vertical="center" indent="1"/>
      <protection locked="0"/>
    </xf>
    <xf numFmtId="165" fontId="10" fillId="6" borderId="0" xfId="4" applyNumberFormat="1" applyFont="1" applyFill="1" applyAlignment="1">
      <alignment horizontal="center" vertical="center"/>
    </xf>
    <xf numFmtId="49" fontId="5" fillId="9" borderId="1" xfId="0" applyNumberFormat="1" applyFont="1" applyFill="1" applyBorder="1" applyAlignment="1" applyProtection="1">
      <alignment horizontal="left" vertical="center" wrapText="1" indent="1"/>
      <protection locked="0"/>
    </xf>
    <xf numFmtId="0" fontId="10" fillId="0" borderId="0" xfId="0" applyFont="1" applyAlignment="1">
      <alignment horizontal="right" vertical="center"/>
    </xf>
    <xf numFmtId="168" fontId="7" fillId="0" borderId="48" xfId="0" applyNumberFormat="1" applyFont="1" applyBorder="1" applyAlignment="1">
      <alignment horizontal="center" vertical="center" wrapText="1"/>
    </xf>
    <xf numFmtId="168" fontId="7" fillId="0" borderId="49" xfId="0" applyNumberFormat="1" applyFont="1" applyBorder="1" applyAlignment="1">
      <alignment horizontal="center" vertical="center" wrapText="1"/>
    </xf>
    <xf numFmtId="168" fontId="7" fillId="0" borderId="50" xfId="0" applyNumberFormat="1" applyFont="1" applyBorder="1" applyAlignment="1">
      <alignment horizontal="center" vertical="center" wrapText="1"/>
    </xf>
    <xf numFmtId="0" fontId="29" fillId="0" borderId="0" xfId="0" applyFont="1" applyAlignment="1">
      <alignment horizontal="right" textRotation="90" wrapText="1"/>
    </xf>
    <xf numFmtId="0" fontId="55" fillId="3" borderId="0" xfId="0" applyFont="1" applyFill="1" applyAlignment="1">
      <alignment horizontal="center" textRotation="90" wrapText="1"/>
    </xf>
    <xf numFmtId="0" fontId="55" fillId="3" borderId="80" xfId="0" applyFont="1" applyFill="1" applyBorder="1" applyAlignment="1">
      <alignment horizontal="center" textRotation="90" wrapText="1"/>
    </xf>
    <xf numFmtId="0" fontId="7" fillId="9" borderId="74" xfId="0" applyFont="1" applyFill="1" applyBorder="1" applyAlignment="1" applyProtection="1">
      <alignment horizontal="center" vertical="center"/>
      <protection locked="0"/>
    </xf>
    <xf numFmtId="0" fontId="7" fillId="9" borderId="75" xfId="0" applyFont="1" applyFill="1" applyBorder="1" applyAlignment="1" applyProtection="1">
      <alignment horizontal="center" vertical="center"/>
      <protection locked="0"/>
    </xf>
    <xf numFmtId="167" fontId="7" fillId="0" borderId="48" xfId="0" applyNumberFormat="1" applyFont="1" applyBorder="1" applyAlignment="1">
      <alignment horizontal="center" vertical="center" wrapText="1"/>
    </xf>
    <xf numFmtId="4" fontId="7" fillId="0" borderId="48" xfId="0" applyNumberFormat="1" applyFont="1" applyBorder="1" applyAlignment="1">
      <alignment horizontal="center" vertical="center" wrapText="1"/>
    </xf>
    <xf numFmtId="165" fontId="5" fillId="10" borderId="2" xfId="0" applyNumberFormat="1" applyFont="1" applyFill="1" applyBorder="1" applyAlignment="1">
      <alignment horizontal="left" vertical="center" indent="1"/>
    </xf>
    <xf numFmtId="165" fontId="5" fillId="10" borderId="7" xfId="0" applyNumberFormat="1" applyFont="1" applyFill="1" applyBorder="1" applyAlignment="1">
      <alignment horizontal="left" vertical="center" indent="1"/>
    </xf>
    <xf numFmtId="0" fontId="10" fillId="9" borderId="56" xfId="0" applyFont="1" applyFill="1" applyBorder="1" applyAlignment="1" applyProtection="1">
      <alignment horizontal="center" vertical="center" wrapText="1"/>
      <protection locked="0"/>
    </xf>
    <xf numFmtId="0" fontId="10" fillId="9" borderId="60" xfId="0" applyFont="1" applyFill="1" applyBorder="1" applyAlignment="1" applyProtection="1">
      <alignment horizontal="center" vertical="center" wrapText="1"/>
      <protection locked="0"/>
    </xf>
    <xf numFmtId="0" fontId="10" fillId="9" borderId="78" xfId="0" applyFont="1" applyFill="1" applyBorder="1" applyAlignment="1" applyProtection="1">
      <alignment horizontal="center" vertical="center" wrapText="1"/>
      <protection locked="0"/>
    </xf>
    <xf numFmtId="0" fontId="10" fillId="9" borderId="81" xfId="0" applyFont="1" applyFill="1" applyBorder="1" applyAlignment="1" applyProtection="1">
      <alignment horizontal="center" vertical="center" wrapText="1"/>
      <protection locked="0"/>
    </xf>
    <xf numFmtId="0" fontId="10" fillId="9" borderId="57" xfId="0" applyFont="1" applyFill="1" applyBorder="1" applyAlignment="1" applyProtection="1">
      <alignment horizontal="center" vertical="center" wrapText="1"/>
      <protection locked="0"/>
    </xf>
    <xf numFmtId="0" fontId="10" fillId="9" borderId="61" xfId="0" applyFont="1" applyFill="1" applyBorder="1" applyAlignment="1" applyProtection="1">
      <alignment horizontal="center" vertical="center" wrapText="1"/>
      <protection locked="0"/>
    </xf>
    <xf numFmtId="0" fontId="5" fillId="9" borderId="6" xfId="0" applyFont="1" applyFill="1" applyBorder="1" applyAlignment="1" applyProtection="1">
      <alignment horizontal="left" vertical="center" indent="1"/>
      <protection locked="0"/>
    </xf>
    <xf numFmtId="0" fontId="5" fillId="9" borderId="7" xfId="0" applyFont="1" applyFill="1" applyBorder="1" applyAlignment="1" applyProtection="1">
      <alignment horizontal="left" vertical="center" indent="1"/>
      <protection locked="0"/>
    </xf>
    <xf numFmtId="0" fontId="29" fillId="0" borderId="0" xfId="0" applyFont="1" applyAlignment="1">
      <alignment horizontal="center" textRotation="90"/>
    </xf>
    <xf numFmtId="0" fontId="5" fillId="9" borderId="2" xfId="0" applyFont="1" applyFill="1" applyBorder="1" applyAlignment="1" applyProtection="1">
      <alignment horizontal="left" vertical="center" indent="1"/>
      <protection locked="0"/>
    </xf>
    <xf numFmtId="0" fontId="5" fillId="9" borderId="2" xfId="0" applyFont="1" applyFill="1" applyBorder="1" applyAlignment="1" applyProtection="1">
      <alignment horizontal="left" vertical="center" wrapText="1" indent="1"/>
      <protection locked="0"/>
    </xf>
    <xf numFmtId="0" fontId="5" fillId="9" borderId="6" xfId="0" applyFont="1" applyFill="1" applyBorder="1" applyAlignment="1" applyProtection="1">
      <alignment horizontal="left" vertical="center" wrapText="1" indent="1"/>
      <protection locked="0"/>
    </xf>
    <xf numFmtId="0" fontId="5" fillId="9" borderId="7" xfId="0" applyFont="1" applyFill="1" applyBorder="1" applyAlignment="1" applyProtection="1">
      <alignment horizontal="left" vertical="center" wrapText="1" indent="1"/>
      <protection locked="0"/>
    </xf>
    <xf numFmtId="0" fontId="1" fillId="9" borderId="1" xfId="0" applyFont="1" applyFill="1" applyBorder="1" applyAlignment="1" applyProtection="1">
      <alignment horizontal="left" vertical="top" wrapText="1" indent="1"/>
      <protection locked="0"/>
    </xf>
    <xf numFmtId="165" fontId="5" fillId="10" borderId="6" xfId="0" applyNumberFormat="1" applyFont="1" applyFill="1" applyBorder="1" applyAlignment="1">
      <alignment horizontal="left" vertical="center" indent="1"/>
    </xf>
    <xf numFmtId="0" fontId="6" fillId="0" borderId="0" xfId="0" applyFont="1" applyAlignment="1">
      <alignment horizontal="center" vertical="center"/>
    </xf>
    <xf numFmtId="0" fontId="7" fillId="0" borderId="3" xfId="0" applyFont="1" applyBorder="1" applyAlignment="1">
      <alignment horizontal="center" vertical="center" wrapText="1"/>
    </xf>
    <xf numFmtId="167" fontId="7" fillId="0" borderId="0" xfId="0" applyNumberFormat="1" applyFont="1" applyAlignment="1">
      <alignment horizontal="center" vertical="center" wrapText="1"/>
    </xf>
    <xf numFmtId="167" fontId="7" fillId="0" borderId="3" xfId="0" applyNumberFormat="1" applyFont="1" applyBorder="1" applyAlignment="1">
      <alignment horizontal="center" vertical="center" wrapText="1"/>
    </xf>
    <xf numFmtId="166" fontId="5" fillId="4" borderId="2" xfId="0" applyNumberFormat="1" applyFont="1" applyFill="1" applyBorder="1" applyAlignment="1">
      <alignment horizontal="left" vertical="center" indent="1"/>
    </xf>
    <xf numFmtId="166" fontId="5" fillId="4" borderId="6" xfId="0" applyNumberFormat="1" applyFont="1" applyFill="1" applyBorder="1" applyAlignment="1">
      <alignment horizontal="left" vertical="center" indent="1"/>
    </xf>
    <xf numFmtId="166" fontId="5" fillId="4" borderId="7" xfId="0" applyNumberFormat="1" applyFont="1" applyFill="1" applyBorder="1" applyAlignment="1">
      <alignment horizontal="left" vertical="center" indent="1"/>
    </xf>
    <xf numFmtId="165" fontId="5" fillId="4" borderId="1" xfId="0" applyNumberFormat="1" applyFont="1" applyFill="1" applyBorder="1" applyAlignment="1">
      <alignment horizontal="right" vertical="center" indent="2"/>
    </xf>
    <xf numFmtId="0" fontId="53" fillId="0" borderId="70" xfId="0" applyFont="1" applyBorder="1" applyAlignment="1">
      <alignment horizontal="center" vertical="center"/>
    </xf>
    <xf numFmtId="166" fontId="5" fillId="4" borderId="1" xfId="0" applyNumberFormat="1" applyFont="1" applyFill="1" applyBorder="1" applyAlignment="1">
      <alignment horizontal="left" vertical="center" indent="1"/>
    </xf>
    <xf numFmtId="0" fontId="1" fillId="4" borderId="1" xfId="0" applyFont="1" applyFill="1" applyBorder="1" applyAlignment="1">
      <alignment horizontal="left" vertical="center" indent="1"/>
    </xf>
    <xf numFmtId="0" fontId="1" fillId="4" borderId="1" xfId="0" applyFont="1" applyFill="1" applyBorder="1" applyAlignment="1">
      <alignment horizontal="left" vertical="center" wrapText="1" indent="1"/>
    </xf>
    <xf numFmtId="0" fontId="5" fillId="4" borderId="1" xfId="0" applyFont="1" applyFill="1" applyBorder="1" applyAlignment="1">
      <alignment horizontal="right" vertical="center" indent="1"/>
    </xf>
    <xf numFmtId="0" fontId="5" fillId="4" borderId="2" xfId="0" applyFont="1" applyFill="1" applyBorder="1" applyAlignment="1">
      <alignment horizontal="right" vertical="center" indent="1"/>
    </xf>
    <xf numFmtId="0" fontId="5" fillId="4" borderId="6" xfId="0" applyFont="1" applyFill="1" applyBorder="1" applyAlignment="1">
      <alignment horizontal="right" vertical="center" indent="1"/>
    </xf>
    <xf numFmtId="0" fontId="5" fillId="4" borderId="7" xfId="0" applyFont="1" applyFill="1" applyBorder="1" applyAlignment="1">
      <alignment horizontal="right" vertical="center" indent="1"/>
    </xf>
    <xf numFmtId="0" fontId="7" fillId="0" borderId="3" xfId="0" applyFont="1" applyBorder="1" applyAlignment="1">
      <alignment horizontal="center" vertical="center"/>
    </xf>
    <xf numFmtId="0" fontId="5" fillId="0" borderId="6" xfId="0" applyFont="1" applyBorder="1" applyAlignment="1">
      <alignment vertical="center"/>
    </xf>
    <xf numFmtId="165" fontId="5" fillId="10" borderId="1" xfId="0" applyNumberFormat="1" applyFont="1" applyFill="1" applyBorder="1" applyAlignment="1">
      <alignment horizontal="left" vertical="center" indent="1"/>
    </xf>
    <xf numFmtId="0" fontId="7" fillId="4" borderId="1" xfId="0" applyFont="1" applyFill="1" applyBorder="1" applyAlignment="1">
      <alignment horizontal="center" vertical="center" wrapText="1"/>
    </xf>
    <xf numFmtId="0" fontId="7" fillId="4" borderId="2" xfId="0" applyFont="1" applyFill="1" applyBorder="1" applyAlignment="1">
      <alignment horizontal="right" vertical="center" indent="1"/>
    </xf>
    <xf numFmtId="0" fontId="7" fillId="4" borderId="6" xfId="0" applyFont="1" applyFill="1" applyBorder="1" applyAlignment="1">
      <alignment horizontal="right" vertical="center" indent="1"/>
    </xf>
    <xf numFmtId="0" fontId="7" fillId="4" borderId="7" xfId="0" applyFont="1" applyFill="1" applyBorder="1" applyAlignment="1">
      <alignment horizontal="right" vertical="center" indent="1"/>
    </xf>
    <xf numFmtId="0" fontId="7" fillId="0" borderId="0" xfId="0" applyFont="1" applyAlignment="1">
      <alignment horizontal="right" vertical="center" indent="1"/>
    </xf>
    <xf numFmtId="0" fontId="16" fillId="3" borderId="0" xfId="0" applyFont="1" applyFill="1" applyAlignment="1">
      <alignment horizontal="left" vertical="top" wrapText="1" indent="2"/>
    </xf>
    <xf numFmtId="0" fontId="16" fillId="0" borderId="0" xfId="0" applyFont="1" applyAlignment="1">
      <alignment horizontal="left" vertical="top" wrapText="1" indent="2"/>
    </xf>
    <xf numFmtId="0" fontId="20" fillId="0" borderId="0" xfId="0" applyFont="1" applyAlignment="1">
      <alignment horizontal="left" vertical="top" wrapText="1" indent="1"/>
    </xf>
    <xf numFmtId="0" fontId="20" fillId="3" borderId="0" xfId="0" applyFont="1" applyFill="1" applyAlignment="1">
      <alignment horizontal="left" vertical="center" wrapText="1" indent="1"/>
    </xf>
    <xf numFmtId="0" fontId="61" fillId="0" borderId="0" xfId="0" applyFont="1" applyAlignment="1">
      <alignment horizontal="left" vertical="center" indent="1"/>
    </xf>
    <xf numFmtId="0" fontId="7" fillId="0" borderId="10" xfId="0" applyFont="1" applyBorder="1" applyAlignment="1">
      <alignment horizontal="center" vertical="center" wrapText="1"/>
    </xf>
    <xf numFmtId="0" fontId="7" fillId="0" borderId="51" xfId="0" applyFont="1" applyBorder="1" applyAlignment="1">
      <alignment horizontal="center" vertical="center" wrapText="1"/>
    </xf>
    <xf numFmtId="165" fontId="7" fillId="0" borderId="10" xfId="0" applyNumberFormat="1" applyFont="1" applyBorder="1" applyAlignment="1">
      <alignment horizontal="center" vertical="center" wrapText="1"/>
    </xf>
    <xf numFmtId="0" fontId="10" fillId="3" borderId="5" xfId="0" applyFont="1" applyFill="1" applyBorder="1" applyAlignment="1">
      <alignment horizontal="center" vertical="center"/>
    </xf>
    <xf numFmtId="0" fontId="10" fillId="3" borderId="0" xfId="0" applyFont="1" applyFill="1" applyAlignment="1">
      <alignment horizontal="center" vertical="center"/>
    </xf>
    <xf numFmtId="0" fontId="10" fillId="3" borderId="4" xfId="0" applyFont="1" applyFill="1" applyBorder="1" applyAlignment="1">
      <alignment horizontal="center" vertical="center"/>
    </xf>
    <xf numFmtId="165" fontId="7" fillId="0" borderId="48" xfId="0" applyNumberFormat="1" applyFont="1" applyBorder="1" applyAlignment="1">
      <alignment horizontal="center" vertical="center" wrapText="1"/>
    </xf>
    <xf numFmtId="165" fontId="7" fillId="0" borderId="64" xfId="0" applyNumberFormat="1" applyFont="1" applyBorder="1" applyAlignment="1">
      <alignment horizontal="center" vertical="center" wrapText="1"/>
    </xf>
    <xf numFmtId="165" fontId="7" fillId="0" borderId="63" xfId="0" applyNumberFormat="1" applyFont="1" applyBorder="1" applyAlignment="1">
      <alignment horizontal="center" vertical="center" wrapText="1"/>
    </xf>
    <xf numFmtId="165"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2" xfId="0" applyFont="1" applyBorder="1" applyAlignment="1">
      <alignment horizontal="center" vertical="center" wrapText="1"/>
    </xf>
    <xf numFmtId="0" fontId="29" fillId="0" borderId="0" xfId="0" applyFont="1" applyAlignment="1">
      <alignment horizontal="center" vertical="center"/>
    </xf>
    <xf numFmtId="0" fontId="6" fillId="0" borderId="0" xfId="0" applyFont="1" applyAlignment="1">
      <alignment horizontal="center" vertical="top"/>
    </xf>
    <xf numFmtId="0" fontId="13" fillId="6" borderId="21" xfId="4" applyFont="1" applyFill="1" applyBorder="1" applyAlignment="1">
      <alignment horizontal="center" vertical="center" wrapText="1"/>
    </xf>
    <xf numFmtId="0" fontId="13" fillId="6" borderId="24" xfId="4" applyFont="1" applyFill="1" applyBorder="1" applyAlignment="1">
      <alignment horizontal="center" vertical="center" wrapText="1"/>
    </xf>
    <xf numFmtId="0" fontId="1" fillId="4" borderId="29" xfId="4" applyFill="1" applyBorder="1" applyAlignment="1">
      <alignment horizontal="left" vertical="center" indent="1"/>
    </xf>
    <xf numFmtId="0" fontId="1" fillId="4" borderId="7" xfId="4" applyFill="1" applyBorder="1" applyAlignment="1">
      <alignment horizontal="left" vertical="center" indent="1"/>
    </xf>
    <xf numFmtId="0" fontId="1" fillId="4" borderId="26" xfId="4" applyFill="1" applyBorder="1" applyAlignment="1">
      <alignment horizontal="left" vertical="center" indent="1"/>
    </xf>
    <xf numFmtId="0" fontId="1" fillId="4" borderId="28" xfId="4" applyFill="1" applyBorder="1" applyAlignment="1">
      <alignment horizontal="left" vertical="center" indent="1"/>
    </xf>
    <xf numFmtId="3" fontId="1" fillId="4" borderId="29" xfId="0" applyNumberFormat="1" applyFont="1" applyFill="1" applyBorder="1" applyAlignment="1">
      <alignment horizontal="left" vertical="center" indent="1"/>
    </xf>
    <xf numFmtId="3" fontId="1" fillId="4" borderId="6" xfId="0" applyNumberFormat="1" applyFont="1" applyFill="1" applyBorder="1" applyAlignment="1">
      <alignment horizontal="left" vertical="center" indent="1"/>
    </xf>
    <xf numFmtId="3" fontId="1" fillId="4" borderId="7" xfId="0" applyNumberFormat="1" applyFont="1" applyFill="1" applyBorder="1" applyAlignment="1">
      <alignment horizontal="left" vertical="center" indent="1"/>
    </xf>
    <xf numFmtId="3" fontId="1" fillId="4" borderId="31" xfId="0" applyNumberFormat="1" applyFont="1" applyFill="1" applyBorder="1" applyAlignment="1">
      <alignment horizontal="left" vertical="center" indent="1"/>
    </xf>
    <xf numFmtId="3" fontId="1" fillId="4" borderId="32" xfId="0" applyNumberFormat="1" applyFont="1" applyFill="1" applyBorder="1" applyAlignment="1">
      <alignment horizontal="left" vertical="center" indent="1"/>
    </xf>
    <xf numFmtId="3" fontId="1" fillId="4" borderId="33" xfId="0" applyNumberFormat="1" applyFont="1" applyFill="1" applyBorder="1" applyAlignment="1">
      <alignment horizontal="left" vertical="center" indent="1"/>
    </xf>
    <xf numFmtId="0" fontId="1" fillId="4" borderId="31" xfId="4" applyFill="1" applyBorder="1" applyAlignment="1">
      <alignment horizontal="left" vertical="center" indent="1"/>
    </xf>
    <xf numFmtId="0" fontId="1" fillId="4" borderId="33" xfId="4" applyFill="1" applyBorder="1" applyAlignment="1">
      <alignment horizontal="left" vertical="center" indent="1"/>
    </xf>
    <xf numFmtId="0" fontId="1" fillId="4" borderId="40" xfId="4" applyFill="1" applyBorder="1" applyAlignment="1">
      <alignment horizontal="left" vertical="center" indent="1"/>
    </xf>
    <xf numFmtId="0" fontId="1" fillId="4" borderId="10" xfId="4" applyFill="1" applyBorder="1" applyAlignment="1">
      <alignment horizontal="left" vertical="center" indent="1"/>
    </xf>
    <xf numFmtId="0" fontId="1" fillId="4" borderId="41" xfId="4" applyFill="1" applyBorder="1" applyAlignment="1">
      <alignment horizontal="left" vertical="center" indent="1"/>
    </xf>
    <xf numFmtId="165" fontId="13" fillId="6" borderId="20" xfId="4" applyNumberFormat="1" applyFont="1" applyFill="1" applyBorder="1" applyAlignment="1">
      <alignment horizontal="center" vertical="center" wrapText="1"/>
    </xf>
    <xf numFmtId="165" fontId="13" fillId="6" borderId="21" xfId="4" applyNumberFormat="1" applyFont="1" applyFill="1" applyBorder="1" applyAlignment="1">
      <alignment horizontal="center" vertical="center" wrapText="1"/>
    </xf>
    <xf numFmtId="165" fontId="13" fillId="6" borderId="23" xfId="4" applyNumberFormat="1" applyFont="1" applyFill="1" applyBorder="1" applyAlignment="1">
      <alignment horizontal="center" vertical="center" wrapText="1"/>
    </xf>
    <xf numFmtId="165" fontId="13" fillId="6" borderId="24" xfId="4" applyNumberFormat="1" applyFont="1" applyFill="1" applyBorder="1" applyAlignment="1">
      <alignment horizontal="center" vertical="center" wrapText="1"/>
    </xf>
    <xf numFmtId="166" fontId="13" fillId="6" borderId="20" xfId="1" applyNumberFormat="1" applyFont="1" applyFill="1" applyBorder="1" applyAlignment="1">
      <alignment horizontal="center" vertical="center" wrapText="1"/>
    </xf>
    <xf numFmtId="166" fontId="13" fillId="6" borderId="22" xfId="1" applyNumberFormat="1" applyFont="1" applyFill="1" applyBorder="1" applyAlignment="1">
      <alignment horizontal="center" vertical="center" wrapText="1"/>
    </xf>
    <xf numFmtId="0" fontId="13" fillId="6" borderId="43" xfId="0" applyFont="1" applyFill="1" applyBorder="1" applyAlignment="1">
      <alignment horizontal="center" vertical="center"/>
    </xf>
    <xf numFmtId="0" fontId="13" fillId="6" borderId="45" xfId="0" applyFont="1" applyFill="1" applyBorder="1" applyAlignment="1">
      <alignment horizontal="center" vertical="center"/>
    </xf>
    <xf numFmtId="0" fontId="13" fillId="6" borderId="40" xfId="0" applyFont="1" applyFill="1" applyBorder="1" applyAlignment="1">
      <alignment horizontal="center" vertical="center" wrapText="1"/>
    </xf>
    <xf numFmtId="0" fontId="13" fillId="6" borderId="41" xfId="0" applyFont="1" applyFill="1" applyBorder="1" applyAlignment="1">
      <alignment horizontal="center" vertical="center" wrapText="1"/>
    </xf>
    <xf numFmtId="0" fontId="13" fillId="6" borderId="43" xfId="4" applyFont="1" applyFill="1" applyBorder="1" applyAlignment="1">
      <alignment horizontal="center" vertical="center" wrapText="1"/>
    </xf>
    <xf numFmtId="0" fontId="13" fillId="6" borderId="45" xfId="4" applyFont="1" applyFill="1" applyBorder="1" applyAlignment="1">
      <alignment horizontal="center" vertical="center" wrapText="1"/>
    </xf>
    <xf numFmtId="0" fontId="4" fillId="5" borderId="5" xfId="4" applyFont="1" applyFill="1" applyBorder="1" applyAlignment="1">
      <alignment horizontal="center" vertical="center"/>
    </xf>
    <xf numFmtId="0" fontId="4" fillId="5" borderId="0" xfId="4" applyFont="1" applyFill="1" applyAlignment="1">
      <alignment horizontal="center" vertical="center"/>
    </xf>
    <xf numFmtId="166" fontId="13" fillId="6" borderId="44" xfId="1" applyNumberFormat="1" applyFont="1" applyFill="1" applyBorder="1" applyAlignment="1">
      <alignment horizontal="center" vertical="center" wrapText="1"/>
    </xf>
    <xf numFmtId="166" fontId="13" fillId="6" borderId="27" xfId="1" applyNumberFormat="1" applyFont="1" applyFill="1" applyBorder="1" applyAlignment="1">
      <alignment horizontal="center" vertical="center" wrapText="1"/>
    </xf>
    <xf numFmtId="166" fontId="13" fillId="6" borderId="28" xfId="1" applyNumberFormat="1" applyFont="1" applyFill="1" applyBorder="1" applyAlignment="1">
      <alignment horizontal="center" vertical="center" wrapText="1"/>
    </xf>
    <xf numFmtId="0" fontId="13" fillId="6" borderId="74" xfId="0" applyFont="1" applyFill="1" applyBorder="1" applyAlignment="1">
      <alignment horizontal="center" vertical="center"/>
    </xf>
    <xf numFmtId="0" fontId="13" fillId="6" borderId="75" xfId="0" applyFont="1" applyFill="1" applyBorder="1" applyAlignment="1">
      <alignment horizontal="center" vertical="center"/>
    </xf>
    <xf numFmtId="0" fontId="13" fillId="6" borderId="34" xfId="0" applyFont="1" applyFill="1" applyBorder="1" applyAlignment="1">
      <alignment horizontal="center" vertical="center" wrapText="1"/>
    </xf>
    <xf numFmtId="0" fontId="13" fillId="6" borderId="36" xfId="0" applyFont="1" applyFill="1" applyBorder="1" applyAlignment="1">
      <alignment horizontal="center" vertical="center"/>
    </xf>
    <xf numFmtId="0" fontId="1" fillId="4" borderId="40" xfId="4" applyFill="1" applyBorder="1" applyAlignment="1">
      <alignment horizontal="left" vertical="center" wrapText="1" indent="1"/>
    </xf>
    <xf numFmtId="0" fontId="1" fillId="4" borderId="10" xfId="4" applyFill="1" applyBorder="1" applyAlignment="1">
      <alignment horizontal="left" vertical="center" wrapText="1" indent="1"/>
    </xf>
    <xf numFmtId="0" fontId="1" fillId="4" borderId="41" xfId="4" applyFill="1" applyBorder="1" applyAlignment="1">
      <alignment horizontal="left" vertical="center" wrapText="1" indent="1"/>
    </xf>
    <xf numFmtId="3" fontId="5" fillId="0" borderId="0" xfId="0" applyNumberFormat="1" applyFont="1" applyAlignment="1">
      <alignment horizontal="right" vertical="center" wrapText="1"/>
    </xf>
    <xf numFmtId="0" fontId="13" fillId="6" borderId="38" xfId="0" applyFont="1" applyFill="1" applyBorder="1" applyAlignment="1">
      <alignment horizontal="center" vertical="center"/>
    </xf>
    <xf numFmtId="0" fontId="13" fillId="6" borderId="39" xfId="0" applyFont="1" applyFill="1" applyBorder="1" applyAlignment="1">
      <alignment horizontal="center" vertical="center"/>
    </xf>
    <xf numFmtId="3" fontId="1" fillId="4" borderId="24" xfId="0" applyNumberFormat="1" applyFont="1" applyFill="1" applyBorder="1" applyAlignment="1">
      <alignment horizontal="left" vertical="center" wrapText="1" indent="1"/>
    </xf>
    <xf numFmtId="3" fontId="1" fillId="4" borderId="25" xfId="0" applyNumberFormat="1" applyFont="1" applyFill="1" applyBorder="1" applyAlignment="1">
      <alignment horizontal="left" vertical="center" wrapText="1" indent="1"/>
    </xf>
    <xf numFmtId="3" fontId="1" fillId="4" borderId="1" xfId="0" applyNumberFormat="1" applyFont="1" applyFill="1" applyBorder="1" applyAlignment="1">
      <alignment horizontal="left" vertical="center" wrapText="1" indent="1"/>
    </xf>
    <xf numFmtId="3" fontId="1" fillId="4" borderId="30" xfId="0" applyNumberFormat="1" applyFont="1" applyFill="1" applyBorder="1" applyAlignment="1">
      <alignment horizontal="left" vertical="center" wrapText="1" indent="1"/>
    </xf>
    <xf numFmtId="3" fontId="1" fillId="4" borderId="21" xfId="0" applyNumberFormat="1" applyFont="1" applyFill="1" applyBorder="1" applyAlignment="1">
      <alignment horizontal="left" vertical="center" wrapText="1" indent="1"/>
    </xf>
    <xf numFmtId="3" fontId="1" fillId="4" borderId="22" xfId="0" applyNumberFormat="1" applyFont="1" applyFill="1" applyBorder="1" applyAlignment="1">
      <alignment horizontal="left" vertical="center" wrapText="1" indent="1"/>
    </xf>
    <xf numFmtId="3" fontId="1" fillId="4" borderId="2" xfId="0" applyNumberFormat="1" applyFont="1" applyFill="1" applyBorder="1" applyAlignment="1">
      <alignment horizontal="left" vertical="center" wrapText="1" indent="1"/>
    </xf>
    <xf numFmtId="3" fontId="1" fillId="4" borderId="6" xfId="0" applyNumberFormat="1" applyFont="1" applyFill="1" applyBorder="1" applyAlignment="1">
      <alignment horizontal="left" vertical="center" wrapText="1" indent="1"/>
    </xf>
    <xf numFmtId="3" fontId="1" fillId="4" borderId="58" xfId="0" applyNumberFormat="1" applyFont="1" applyFill="1" applyBorder="1" applyAlignment="1">
      <alignment horizontal="left" vertical="center" wrapText="1" indent="1"/>
    </xf>
    <xf numFmtId="0" fontId="13" fillId="6" borderId="56" xfId="0" applyFont="1" applyFill="1" applyBorder="1" applyAlignment="1">
      <alignment horizontal="center" vertical="center" wrapText="1"/>
    </xf>
    <xf numFmtId="0" fontId="13" fillId="6" borderId="60" xfId="0" applyFont="1" applyFill="1" applyBorder="1" applyAlignment="1">
      <alignment horizontal="center" vertical="center" wrapText="1"/>
    </xf>
    <xf numFmtId="0" fontId="13" fillId="6" borderId="57" xfId="0" applyFont="1" applyFill="1" applyBorder="1" applyAlignment="1">
      <alignment horizontal="center" vertical="center" wrapText="1"/>
    </xf>
    <xf numFmtId="0" fontId="13" fillId="6" borderId="61" xfId="0" applyFont="1" applyFill="1" applyBorder="1" applyAlignment="1">
      <alignment horizontal="center" vertical="center" wrapText="1"/>
    </xf>
    <xf numFmtId="3" fontId="1" fillId="4" borderId="66" xfId="0" applyNumberFormat="1" applyFont="1" applyFill="1" applyBorder="1" applyAlignment="1">
      <alignment horizontal="left" vertical="center" wrapText="1" indent="1"/>
    </xf>
    <xf numFmtId="3" fontId="1" fillId="4" borderId="32" xfId="0" applyNumberFormat="1" applyFont="1" applyFill="1" applyBorder="1" applyAlignment="1">
      <alignment horizontal="left" vertical="center" wrapText="1" indent="1"/>
    </xf>
    <xf numFmtId="3" fontId="1" fillId="4" borderId="19" xfId="0" applyNumberFormat="1" applyFont="1" applyFill="1" applyBorder="1" applyAlignment="1">
      <alignment horizontal="left" vertical="center" wrapText="1" indent="1"/>
    </xf>
    <xf numFmtId="0" fontId="13" fillId="6" borderId="21"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3" fillId="6" borderId="34" xfId="0" applyFont="1" applyFill="1" applyBorder="1" applyAlignment="1">
      <alignment horizontal="center" vertical="center"/>
    </xf>
    <xf numFmtId="0" fontId="13" fillId="6" borderId="35" xfId="0" applyFont="1" applyFill="1" applyBorder="1" applyAlignment="1">
      <alignment horizontal="center" vertical="center"/>
    </xf>
    <xf numFmtId="3" fontId="1" fillId="4" borderId="26" xfId="0" applyNumberFormat="1" applyFont="1" applyFill="1" applyBorder="1" applyAlignment="1">
      <alignment horizontal="left" vertical="center" indent="1"/>
    </xf>
    <xf numFmtId="3" fontId="1" fillId="4" borderId="27" xfId="0" applyNumberFormat="1" applyFont="1" applyFill="1" applyBorder="1" applyAlignment="1">
      <alignment horizontal="left" vertical="center" indent="1"/>
    </xf>
    <xf numFmtId="3" fontId="1" fillId="4" borderId="28" xfId="0" applyNumberFormat="1" applyFont="1" applyFill="1" applyBorder="1" applyAlignment="1">
      <alignment horizontal="left" vertical="center" indent="1"/>
    </xf>
    <xf numFmtId="0" fontId="13" fillId="6" borderId="56" xfId="0" applyFont="1" applyFill="1" applyBorder="1" applyAlignment="1">
      <alignment horizontal="center" vertical="center"/>
    </xf>
    <xf numFmtId="0" fontId="13" fillId="6" borderId="52" xfId="0" applyFont="1" applyFill="1" applyBorder="1" applyAlignment="1">
      <alignment horizontal="center" vertical="center"/>
    </xf>
    <xf numFmtId="0" fontId="13" fillId="6" borderId="57" xfId="0" applyFont="1" applyFill="1" applyBorder="1" applyAlignment="1">
      <alignment horizontal="center" vertical="center"/>
    </xf>
    <xf numFmtId="0" fontId="13" fillId="6" borderId="53" xfId="0" applyFont="1" applyFill="1" applyBorder="1" applyAlignment="1">
      <alignment horizontal="center" vertical="center"/>
    </xf>
    <xf numFmtId="0" fontId="1" fillId="4" borderId="56" xfId="0" applyFont="1" applyFill="1" applyBorder="1" applyAlignment="1">
      <alignment horizontal="left" vertical="center" wrapText="1" indent="1"/>
    </xf>
    <xf numFmtId="0" fontId="1" fillId="4" borderId="52" xfId="0" applyFont="1" applyFill="1" applyBorder="1" applyAlignment="1">
      <alignment horizontal="left" vertical="center" wrapText="1" indent="1"/>
    </xf>
    <xf numFmtId="0" fontId="1" fillId="4" borderId="78" xfId="0" applyFont="1" applyFill="1" applyBorder="1" applyAlignment="1">
      <alignment horizontal="left" vertical="center" wrapText="1" indent="1"/>
    </xf>
    <xf numFmtId="0" fontId="1" fillId="4" borderId="4" xfId="0" applyFont="1" applyFill="1" applyBorder="1" applyAlignment="1">
      <alignment horizontal="left" vertical="center" wrapText="1" indent="1"/>
    </xf>
    <xf numFmtId="0" fontId="1" fillId="4" borderId="57" xfId="0" applyFont="1" applyFill="1" applyBorder="1" applyAlignment="1">
      <alignment horizontal="left" vertical="center" wrapText="1" indent="1"/>
    </xf>
    <xf numFmtId="0" fontId="1" fillId="4" borderId="53" xfId="0" applyFont="1" applyFill="1" applyBorder="1" applyAlignment="1">
      <alignment horizontal="left" vertical="center" wrapText="1" indent="1"/>
    </xf>
    <xf numFmtId="0" fontId="1" fillId="4" borderId="20" xfId="0" applyFont="1" applyFill="1" applyBorder="1" applyAlignment="1">
      <alignment horizontal="left" vertical="center" wrapText="1" indent="1"/>
    </xf>
    <xf numFmtId="0" fontId="1" fillId="4" borderId="21" xfId="0" applyFont="1" applyFill="1" applyBorder="1" applyAlignment="1">
      <alignment horizontal="left" vertical="center" wrapText="1" indent="1"/>
    </xf>
    <xf numFmtId="0" fontId="1" fillId="4" borderId="84" xfId="0" applyFont="1" applyFill="1" applyBorder="1" applyAlignment="1">
      <alignment horizontal="left" vertical="center" wrapText="1" indent="1"/>
    </xf>
    <xf numFmtId="0" fontId="1" fillId="4" borderId="51" xfId="0" applyFont="1" applyFill="1" applyBorder="1" applyAlignment="1">
      <alignment horizontal="left" vertical="center" wrapText="1" indent="1"/>
    </xf>
    <xf numFmtId="0" fontId="1" fillId="4" borderId="42" xfId="0" applyFont="1" applyFill="1" applyBorder="1" applyAlignment="1">
      <alignment horizontal="left" vertical="center" wrapText="1" indent="1"/>
    </xf>
    <xf numFmtId="0" fontId="1" fillId="4" borderId="42" xfId="4" applyFill="1" applyBorder="1" applyAlignment="1">
      <alignment horizontal="right" vertical="center" wrapText="1" indent="1"/>
    </xf>
    <xf numFmtId="0" fontId="13" fillId="6" borderId="22" xfId="4" applyFont="1" applyFill="1" applyBorder="1" applyAlignment="1">
      <alignment horizontal="center" vertical="center" wrapText="1"/>
    </xf>
    <xf numFmtId="0" fontId="13" fillId="6" borderId="25" xfId="4" applyFont="1" applyFill="1" applyBorder="1" applyAlignment="1">
      <alignment horizontal="center" vertical="center" wrapText="1"/>
    </xf>
    <xf numFmtId="0" fontId="7" fillId="9" borderId="2" xfId="4" applyFont="1" applyFill="1" applyBorder="1" applyAlignment="1" applyProtection="1">
      <alignment horizontal="center" vertical="center"/>
      <protection locked="0"/>
    </xf>
    <xf numFmtId="0" fontId="7" fillId="9" borderId="7" xfId="4" applyFont="1" applyFill="1" applyBorder="1" applyAlignment="1" applyProtection="1">
      <alignment horizontal="center" vertical="center"/>
      <protection locked="0"/>
    </xf>
    <xf numFmtId="0" fontId="13" fillId="6" borderId="20" xfId="4" applyFont="1" applyFill="1" applyBorder="1" applyAlignment="1">
      <alignment horizontal="center" vertical="center" wrapText="1"/>
    </xf>
    <xf numFmtId="0" fontId="13" fillId="6" borderId="23" xfId="4" applyFont="1" applyFill="1" applyBorder="1" applyAlignment="1">
      <alignment horizontal="center" vertical="center" wrapText="1"/>
    </xf>
    <xf numFmtId="0" fontId="4" fillId="5" borderId="0" xfId="4" applyFont="1" applyFill="1" applyAlignment="1">
      <alignment horizontal="center" vertical="center" wrapText="1"/>
    </xf>
    <xf numFmtId="0" fontId="13" fillId="6" borderId="1" xfId="4" applyFont="1" applyFill="1" applyBorder="1" applyAlignment="1">
      <alignment horizontal="center" vertical="center" wrapText="1"/>
    </xf>
  </cellXfs>
  <cellStyles count="8">
    <cellStyle name="Moeda" xfId="7" builtinId="4"/>
    <cellStyle name="Normal" xfId="0" builtinId="0"/>
    <cellStyle name="Normal 10" xfId="2" xr:uid="{00000000-0005-0000-0000-000001000000}"/>
    <cellStyle name="Normal 10 2" xfId="4" xr:uid="{00000000-0005-0000-0000-000002000000}"/>
    <cellStyle name="Normal 2" xfId="1" xr:uid="{00000000-0005-0000-0000-000003000000}"/>
    <cellStyle name="Normal 3" xfId="5" xr:uid="{00000000-0005-0000-0000-000004000000}"/>
    <cellStyle name="Percent 2" xfId="6" xr:uid="{00000000-0005-0000-0000-000006000000}"/>
    <cellStyle name="Percentagem" xfId="3" builtinId="5"/>
  </cellStyles>
  <dxfs count="110">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0"/>
      </font>
      <fill>
        <patternFill>
          <bgColor rgb="FFFF0000"/>
        </patternFill>
      </fill>
    </dxf>
    <dxf>
      <font>
        <color theme="1"/>
      </font>
      <fill>
        <patternFill>
          <bgColor rgb="FF00FF00"/>
        </patternFill>
      </fill>
    </dxf>
    <dxf>
      <font>
        <color auto="1"/>
      </font>
      <fill>
        <patternFill>
          <bgColor rgb="FFFFFF00"/>
        </patternFill>
      </fill>
    </dxf>
    <dxf>
      <font>
        <color theme="0"/>
      </font>
      <fill>
        <patternFill>
          <bgColor rgb="FFFF0000"/>
        </patternFill>
      </fill>
    </dxf>
    <dxf>
      <fill>
        <patternFill>
          <bgColor rgb="FF00FF00"/>
        </patternFill>
      </fill>
    </dxf>
    <dxf>
      <font>
        <color theme="0"/>
      </font>
      <fill>
        <patternFill>
          <bgColor theme="0"/>
        </patternFill>
      </fill>
      <border>
        <right/>
        <top/>
        <bottom/>
        <vertical/>
        <horizontal/>
      </border>
    </dxf>
    <dxf>
      <font>
        <color theme="0"/>
      </font>
      <fill>
        <patternFill>
          <bgColor theme="0"/>
        </patternFill>
      </fill>
      <border>
        <right style="hair">
          <color auto="1"/>
        </right>
        <top style="hair">
          <color auto="1"/>
        </top>
        <bottom style="hair">
          <color auto="1"/>
        </bottom>
        <vertical/>
        <horizontal/>
      </border>
    </dxf>
    <dxf>
      <fill>
        <patternFill>
          <bgColor indexed="13"/>
        </patternFill>
      </fill>
    </dxf>
    <dxf>
      <fill>
        <patternFill>
          <bgColor indexed="11"/>
        </patternFill>
      </fill>
    </dxf>
    <dxf>
      <font>
        <color theme="0"/>
      </font>
      <fill>
        <patternFill>
          <bgColor indexed="10"/>
        </patternFill>
      </fill>
    </dxf>
    <dxf>
      <fill>
        <patternFill>
          <bgColor indexed="13"/>
        </patternFill>
      </fill>
    </dxf>
    <dxf>
      <fill>
        <patternFill>
          <bgColor indexed="11"/>
        </patternFill>
      </fill>
    </dxf>
    <dxf>
      <font>
        <color theme="0"/>
      </font>
      <fill>
        <patternFill>
          <bgColor indexed="10"/>
        </patternFill>
      </fill>
    </dxf>
    <dxf>
      <font>
        <color theme="0"/>
      </font>
      <fill>
        <patternFill>
          <bgColor theme="0"/>
        </patternFill>
      </fill>
      <border>
        <right style="hair">
          <color auto="1"/>
        </right>
        <top style="hair">
          <color auto="1"/>
        </top>
        <bottom style="hair">
          <color auto="1"/>
        </bottom>
        <vertical/>
        <horizontal/>
      </border>
    </dxf>
    <dxf>
      <fill>
        <patternFill>
          <bgColor indexed="13"/>
        </patternFill>
      </fill>
    </dxf>
    <dxf>
      <fill>
        <patternFill>
          <bgColor indexed="11"/>
        </patternFill>
      </fill>
    </dxf>
    <dxf>
      <font>
        <color theme="0"/>
      </font>
      <fill>
        <patternFill>
          <bgColor indexed="10"/>
        </patternFill>
      </fill>
    </dxf>
    <dxf>
      <fill>
        <patternFill>
          <bgColor indexed="13"/>
        </patternFill>
      </fill>
    </dxf>
    <dxf>
      <fill>
        <patternFill>
          <bgColor indexed="11"/>
        </patternFill>
      </fill>
    </dxf>
    <dxf>
      <font>
        <color theme="0"/>
      </font>
      <fill>
        <patternFill>
          <bgColor indexed="10"/>
        </patternFill>
      </fill>
    </dxf>
    <dxf>
      <font>
        <color theme="0"/>
      </font>
      <fill>
        <patternFill>
          <bgColor rgb="FFFF0000"/>
        </patternFill>
      </fill>
    </dxf>
    <dxf>
      <fill>
        <patternFill>
          <bgColor rgb="FF00FF00"/>
        </patternFill>
      </fill>
    </dxf>
    <dxf>
      <font>
        <color theme="0"/>
      </font>
      <fill>
        <patternFill>
          <bgColor rgb="FFFF0000"/>
        </patternFill>
      </fill>
    </dxf>
    <dxf>
      <font>
        <color theme="0"/>
      </font>
      <fill>
        <patternFill>
          <bgColor rgb="FFFF0000"/>
        </patternFill>
      </fill>
    </dxf>
    <dxf>
      <fill>
        <patternFill>
          <bgColor rgb="FF00FF00"/>
        </patternFill>
      </fill>
    </dxf>
    <dxf>
      <font>
        <color theme="0"/>
      </font>
    </dxf>
    <dxf>
      <font>
        <color theme="0"/>
      </font>
      <fill>
        <patternFill>
          <bgColor theme="0"/>
        </patternFill>
      </fill>
      <border>
        <right style="hair">
          <color auto="1"/>
        </right>
        <top style="hair">
          <color auto="1"/>
        </top>
        <bottom style="hair">
          <color auto="1"/>
        </bottom>
        <vertical/>
        <horizontal/>
      </border>
    </dxf>
    <dxf>
      <font>
        <color theme="0"/>
      </font>
      <fill>
        <patternFill>
          <bgColor rgb="FFFF0000"/>
        </patternFill>
      </fill>
    </dxf>
    <dxf>
      <fill>
        <patternFill>
          <bgColor rgb="FF00FF00"/>
        </patternFill>
      </fill>
    </dxf>
    <dxf>
      <font>
        <color theme="0"/>
      </font>
      <fill>
        <patternFill>
          <bgColor rgb="FFFF0000"/>
        </patternFill>
      </fill>
    </dxf>
    <dxf>
      <font>
        <color theme="0"/>
      </font>
      <fill>
        <patternFill>
          <bgColor theme="0"/>
        </patternFill>
      </fill>
      <border>
        <right/>
        <top/>
        <bottom/>
        <vertical/>
        <horizontal/>
      </border>
    </dxf>
    <dxf>
      <fill>
        <patternFill>
          <bgColor rgb="FF00FF00"/>
        </patternFill>
      </fill>
    </dxf>
    <dxf>
      <fill>
        <patternFill>
          <bgColor rgb="FFFFFF00"/>
        </patternFill>
      </fill>
    </dxf>
    <dxf>
      <font>
        <color theme="0"/>
      </font>
      <fill>
        <patternFill>
          <bgColor rgb="FFFF0000"/>
        </patternFill>
      </fill>
    </dxf>
    <dxf>
      <fill>
        <patternFill>
          <bgColor indexed="13"/>
        </patternFill>
      </fill>
    </dxf>
    <dxf>
      <fill>
        <patternFill>
          <bgColor indexed="11"/>
        </patternFill>
      </fill>
    </dxf>
    <dxf>
      <font>
        <color theme="0"/>
      </font>
      <fill>
        <patternFill>
          <bgColor indexed="10"/>
        </patternFill>
      </fill>
    </dxf>
    <dxf>
      <fill>
        <patternFill>
          <bgColor indexed="13"/>
        </patternFill>
      </fill>
    </dxf>
    <dxf>
      <fill>
        <patternFill>
          <bgColor indexed="11"/>
        </patternFill>
      </fill>
    </dxf>
    <dxf>
      <font>
        <color theme="0"/>
      </font>
      <fill>
        <patternFill>
          <bgColor indexed="10"/>
        </patternFill>
      </fill>
    </dxf>
    <dxf>
      <fill>
        <patternFill>
          <bgColor rgb="FF00FF00"/>
        </patternFill>
      </fill>
    </dxf>
    <dxf>
      <font>
        <color theme="0"/>
      </font>
      <fill>
        <patternFill>
          <bgColor rgb="FFFF0000"/>
        </patternFill>
      </fill>
    </dxf>
    <dxf>
      <fill>
        <patternFill>
          <bgColor rgb="FF00FF00"/>
        </patternFill>
      </fill>
    </dxf>
    <dxf>
      <font>
        <color theme="0"/>
      </font>
      <fill>
        <patternFill>
          <bgColor rgb="FFFF0000"/>
        </patternFill>
      </fill>
    </dxf>
    <dxf>
      <fill>
        <patternFill>
          <bgColor rgb="FF00FF00"/>
        </patternFill>
      </fill>
    </dxf>
    <dxf>
      <font>
        <color theme="0"/>
      </font>
      <fill>
        <patternFill>
          <bgColor rgb="FFFF0000"/>
        </patternFill>
      </fill>
    </dxf>
    <dxf>
      <font>
        <color theme="0"/>
      </font>
      <fill>
        <patternFill>
          <bgColor theme="0"/>
        </patternFill>
      </fill>
      <border>
        <right style="hair">
          <color auto="1"/>
        </right>
        <top style="hair">
          <color auto="1"/>
        </top>
        <bottom style="hair">
          <color auto="1"/>
        </bottom>
        <vertical/>
        <horizontal/>
      </border>
    </dxf>
    <dxf>
      <fill>
        <patternFill>
          <bgColor rgb="FF00FF00"/>
        </patternFill>
      </fill>
    </dxf>
    <dxf>
      <fill>
        <patternFill>
          <bgColor rgb="FFFFFF00"/>
        </patternFill>
      </fill>
    </dxf>
    <dxf>
      <font>
        <color theme="0"/>
      </font>
      <fill>
        <patternFill>
          <bgColor rgb="FFFF0000"/>
        </patternFill>
      </fill>
    </dxf>
    <dxf>
      <font>
        <color theme="0"/>
      </font>
      <fill>
        <patternFill>
          <bgColor theme="0"/>
        </patternFill>
      </fill>
      <border>
        <right style="hair">
          <color auto="1"/>
        </right>
        <top style="hair">
          <color auto="1"/>
        </top>
        <bottom style="hair">
          <color auto="1"/>
        </bottom>
        <vertical/>
        <horizontal/>
      </border>
    </dxf>
    <dxf>
      <font>
        <color theme="0"/>
      </font>
      <fill>
        <patternFill>
          <bgColor theme="0"/>
        </patternFill>
      </fill>
      <border>
        <right style="hair">
          <color auto="1"/>
        </right>
        <top style="hair">
          <color auto="1"/>
        </top>
        <bottom style="hair">
          <color auto="1"/>
        </bottom>
        <vertical/>
        <horizontal/>
      </border>
    </dxf>
    <dxf>
      <font>
        <color theme="0"/>
      </font>
    </dxf>
    <dxf>
      <font>
        <color theme="0"/>
      </font>
      <fill>
        <patternFill>
          <bgColor theme="0"/>
        </patternFill>
      </fill>
      <border>
        <right style="hair">
          <color auto="1"/>
        </right>
        <top style="hair">
          <color auto="1"/>
        </top>
        <bottom style="hair">
          <color auto="1"/>
        </bottom>
        <vertical/>
        <horizontal/>
      </border>
    </dxf>
    <dxf>
      <font>
        <color theme="0"/>
      </font>
      <fill>
        <patternFill>
          <bgColor theme="0"/>
        </patternFill>
      </fill>
      <border>
        <right style="hair">
          <color auto="1"/>
        </right>
        <top style="hair">
          <color auto="1"/>
        </top>
        <bottom style="hair">
          <color auto="1"/>
        </bottom>
        <vertical/>
        <horizontal/>
      </border>
    </dxf>
    <dxf>
      <font>
        <color theme="0"/>
      </font>
      <fill>
        <patternFill>
          <bgColor theme="0"/>
        </patternFill>
      </fill>
      <border>
        <right/>
        <top/>
        <bottom/>
        <vertical/>
        <horizontal/>
      </border>
    </dxf>
    <dxf>
      <fill>
        <patternFill>
          <bgColor rgb="FF00FF00"/>
        </patternFill>
      </fill>
    </dxf>
    <dxf>
      <fill>
        <patternFill>
          <bgColor rgb="FFFFFF00"/>
        </patternFill>
      </fill>
    </dxf>
    <dxf>
      <font>
        <color theme="0"/>
      </font>
      <fill>
        <patternFill>
          <bgColor rgb="FFFF0000"/>
        </patternFill>
      </fill>
    </dxf>
    <dxf>
      <fill>
        <patternFill>
          <bgColor rgb="FF00FF00"/>
        </patternFill>
      </fill>
    </dxf>
    <dxf>
      <fill>
        <patternFill>
          <bgColor rgb="FFFFFFCC"/>
        </patternFill>
      </fill>
    </dxf>
    <dxf>
      <font>
        <color theme="0"/>
      </font>
      <fill>
        <patternFill>
          <bgColor theme="0"/>
        </patternFill>
      </fill>
      <border>
        <right/>
        <top/>
        <bottom/>
        <vertical/>
        <horizontal/>
      </border>
    </dxf>
    <dxf>
      <fill>
        <patternFill>
          <bgColor rgb="FF00FF00"/>
        </patternFill>
      </fill>
    </dxf>
    <dxf>
      <fill>
        <patternFill>
          <bgColor rgb="FFFFFFCC"/>
        </patternFill>
      </fill>
    </dxf>
    <dxf>
      <font>
        <color theme="0"/>
      </font>
      <fill>
        <patternFill>
          <bgColor theme="0"/>
        </patternFill>
      </fill>
      <border>
        <right/>
        <top/>
        <bottom/>
        <vertical/>
        <horizontal/>
      </border>
    </dxf>
    <dxf>
      <font>
        <color auto="1"/>
      </font>
      <fill>
        <patternFill>
          <bgColor rgb="FFFFC000"/>
        </patternFill>
      </fill>
    </dxf>
    <dxf>
      <fill>
        <patternFill>
          <bgColor rgb="FF00FF00"/>
        </patternFill>
      </fill>
    </dxf>
    <dxf>
      <font>
        <color auto="1"/>
      </font>
      <fill>
        <patternFill>
          <bgColor rgb="FFFFC000"/>
        </patternFill>
      </fill>
    </dxf>
    <dxf>
      <fill>
        <patternFill>
          <bgColor rgb="FF00FF00"/>
        </patternFill>
      </fill>
    </dxf>
    <dxf>
      <fill>
        <patternFill>
          <bgColor rgb="FF00FF00"/>
        </patternFill>
      </fill>
    </dxf>
    <dxf>
      <fill>
        <patternFill>
          <bgColor rgb="FFFFFFCC"/>
        </patternFill>
      </fill>
    </dxf>
    <dxf>
      <fill>
        <patternFill>
          <bgColor rgb="FFFFC000"/>
        </patternFill>
      </fill>
    </dxf>
    <dxf>
      <fill>
        <patternFill>
          <bgColor rgb="FF99CCFF"/>
        </patternFill>
      </fill>
    </dxf>
    <dxf>
      <fill>
        <patternFill>
          <bgColor rgb="FFFFC000"/>
        </patternFill>
      </fill>
    </dxf>
    <dxf>
      <font>
        <color theme="0"/>
      </font>
      <fill>
        <patternFill patternType="none">
          <bgColor auto="1"/>
        </patternFill>
      </fill>
      <border>
        <right/>
        <top/>
        <bottom/>
        <vertical/>
        <horizontal/>
      </border>
    </dxf>
    <dxf>
      <fill>
        <patternFill>
          <bgColor rgb="FF99CCFF"/>
        </patternFill>
      </fill>
    </dxf>
    <dxf>
      <fill>
        <patternFill>
          <bgColor rgb="FF00FF00"/>
        </patternFill>
      </fill>
    </dxf>
    <dxf>
      <fill>
        <patternFill>
          <bgColor rgb="FFFFFFCC"/>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FF0000"/>
        </patternFill>
      </fill>
    </dxf>
  </dxfs>
  <tableStyles count="0" defaultTableStyle="TableStyleMedium9" defaultPivotStyle="PivotStyleLight16"/>
  <colors>
    <mruColors>
      <color rgb="FFFFFFCC"/>
      <color rgb="FF00FF00"/>
      <color rgb="FFFFCC66"/>
      <color rgb="FFCCFFFF"/>
      <color rgb="FFB48900"/>
      <color rgb="FF99CCFF"/>
      <color rgb="FFFFFFC8"/>
      <color rgb="FFB0AC00"/>
      <color rgb="FFFFFF00"/>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trlProps/ctrlProp1.xml><?xml version="1.0" encoding="utf-8"?>
<formControlPr xmlns="http://schemas.microsoft.com/office/spreadsheetml/2009/9/main" objectType="CheckBox" fmlaLink="A1" lockText="1"/>
</file>

<file path=xl/drawings/_rels/drawing2.xml.rels><?xml version="1.0" encoding="UTF-8" standalone="yes"?>
<Relationships xmlns="http://schemas.openxmlformats.org/package/2006/relationships"><Relationship Id="rId1" Type="http://schemas.openxmlformats.org/officeDocument/2006/relationships/hyperlink" Target="https://iris.inesctec.pt/dashboard/listagensrhperfisfuncionais"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114300</xdr:colOff>
      <xdr:row>2</xdr:row>
      <xdr:rowOff>85725</xdr:rowOff>
    </xdr:from>
    <xdr:to>
      <xdr:col>2</xdr:col>
      <xdr:colOff>1914300</xdr:colOff>
      <xdr:row>2</xdr:row>
      <xdr:rowOff>409725</xdr:rowOff>
    </xdr:to>
    <xdr:sp macro="[0]!Proteger" textlink="">
      <xdr:nvSpPr>
        <xdr:cNvPr id="4" name="Rounded Rectangle 3">
          <a:extLst>
            <a:ext uri="{FF2B5EF4-FFF2-40B4-BE49-F238E27FC236}">
              <a16:creationId xmlns:a16="http://schemas.microsoft.com/office/drawing/2014/main" id="{00000000-0008-0000-0000-000004000000}"/>
            </a:ext>
          </a:extLst>
        </xdr:cNvPr>
        <xdr:cNvSpPr/>
      </xdr:nvSpPr>
      <xdr:spPr>
        <a:xfrm>
          <a:off x="6057900" y="11620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Proteger</a:t>
          </a:r>
        </a:p>
      </xdr:txBody>
    </xdr:sp>
    <xdr:clientData/>
  </xdr:twoCellAnchor>
  <xdr:twoCellAnchor editAs="oneCell">
    <xdr:from>
      <xdr:col>2</xdr:col>
      <xdr:colOff>114300</xdr:colOff>
      <xdr:row>3</xdr:row>
      <xdr:rowOff>85725</xdr:rowOff>
    </xdr:from>
    <xdr:to>
      <xdr:col>2</xdr:col>
      <xdr:colOff>1914300</xdr:colOff>
      <xdr:row>3</xdr:row>
      <xdr:rowOff>409725</xdr:rowOff>
    </xdr:to>
    <xdr:sp macro="[0]!DesProteger" textlink="">
      <xdr:nvSpPr>
        <xdr:cNvPr id="5" name="Rounded Rectangle 4">
          <a:extLst>
            <a:ext uri="{FF2B5EF4-FFF2-40B4-BE49-F238E27FC236}">
              <a16:creationId xmlns:a16="http://schemas.microsoft.com/office/drawing/2014/main" id="{00000000-0008-0000-0000-000005000000}"/>
            </a:ext>
          </a:extLst>
        </xdr:cNvPr>
        <xdr:cNvSpPr/>
      </xdr:nvSpPr>
      <xdr:spPr>
        <a:xfrm>
          <a:off x="6057900" y="16383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Desproteger</a:t>
          </a:r>
        </a:p>
      </xdr:txBody>
    </xdr:sp>
    <xdr:clientData/>
  </xdr:twoCellAnchor>
  <xdr:twoCellAnchor editAs="oneCell">
    <xdr:from>
      <xdr:col>2</xdr:col>
      <xdr:colOff>114300</xdr:colOff>
      <xdr:row>6</xdr:row>
      <xdr:rowOff>85725</xdr:rowOff>
    </xdr:from>
    <xdr:to>
      <xdr:col>2</xdr:col>
      <xdr:colOff>1914300</xdr:colOff>
      <xdr:row>6</xdr:row>
      <xdr:rowOff>409725</xdr:rowOff>
    </xdr:to>
    <xdr:sp macro="[0]!Mostrar_Teste_Modelo" textlink="">
      <xdr:nvSpPr>
        <xdr:cNvPr id="6" name="Rounded Rectangle 5">
          <a:extLst>
            <a:ext uri="{FF2B5EF4-FFF2-40B4-BE49-F238E27FC236}">
              <a16:creationId xmlns:a16="http://schemas.microsoft.com/office/drawing/2014/main" id="{00000000-0008-0000-0000-000006000000}"/>
            </a:ext>
          </a:extLst>
        </xdr:cNvPr>
        <xdr:cNvSpPr/>
      </xdr:nvSpPr>
      <xdr:spPr>
        <a:xfrm>
          <a:off x="6057900" y="25908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Mostrar Teste Modelo</a:t>
          </a:r>
        </a:p>
      </xdr:txBody>
    </xdr:sp>
    <xdr:clientData/>
  </xdr:twoCellAnchor>
  <xdr:twoCellAnchor editAs="oneCell">
    <xdr:from>
      <xdr:col>2</xdr:col>
      <xdr:colOff>114300</xdr:colOff>
      <xdr:row>4</xdr:row>
      <xdr:rowOff>85725</xdr:rowOff>
    </xdr:from>
    <xdr:to>
      <xdr:col>2</xdr:col>
      <xdr:colOff>1914300</xdr:colOff>
      <xdr:row>4</xdr:row>
      <xdr:rowOff>409725</xdr:rowOff>
    </xdr:to>
    <xdr:sp macro="[0]!Esconder_Tudo" textlink="">
      <xdr:nvSpPr>
        <xdr:cNvPr id="7" name="Rounded Rectangle 6">
          <a:extLst>
            <a:ext uri="{FF2B5EF4-FFF2-40B4-BE49-F238E27FC236}">
              <a16:creationId xmlns:a16="http://schemas.microsoft.com/office/drawing/2014/main" id="{00000000-0008-0000-0000-000007000000}"/>
            </a:ext>
          </a:extLst>
        </xdr:cNvPr>
        <xdr:cNvSpPr/>
      </xdr:nvSpPr>
      <xdr:spPr>
        <a:xfrm>
          <a:off x="6057900" y="21145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Esconder Tudo</a:t>
          </a:r>
        </a:p>
      </xdr:txBody>
    </xdr:sp>
    <xdr:clientData/>
  </xdr:twoCellAnchor>
  <xdr:twoCellAnchor editAs="oneCell">
    <xdr:from>
      <xdr:col>2</xdr:col>
      <xdr:colOff>114300</xdr:colOff>
      <xdr:row>8</xdr:row>
      <xdr:rowOff>85725</xdr:rowOff>
    </xdr:from>
    <xdr:to>
      <xdr:col>2</xdr:col>
      <xdr:colOff>1914300</xdr:colOff>
      <xdr:row>8</xdr:row>
      <xdr:rowOff>409725</xdr:rowOff>
    </xdr:to>
    <xdr:sp macro="[0]!Limpar_Dados" textlink="">
      <xdr:nvSpPr>
        <xdr:cNvPr id="8" name="Rounded Rectangle 7">
          <a:extLst>
            <a:ext uri="{FF2B5EF4-FFF2-40B4-BE49-F238E27FC236}">
              <a16:creationId xmlns:a16="http://schemas.microsoft.com/office/drawing/2014/main" id="{00000000-0008-0000-0000-000008000000}"/>
            </a:ext>
          </a:extLst>
        </xdr:cNvPr>
        <xdr:cNvSpPr/>
      </xdr:nvSpPr>
      <xdr:spPr>
        <a:xfrm>
          <a:off x="6057900" y="35433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Limpar</a:t>
          </a:r>
          <a:r>
            <a:rPr lang="pt-PT" sz="1300" b="1" baseline="0">
              <a:solidFill>
                <a:sysClr val="windowText" lastClr="000000"/>
              </a:solidFill>
              <a:latin typeface="Arial Narrow" panose="020B0606020202030204" pitchFamily="34" charset="0"/>
              <a:ea typeface="+mn-ea"/>
              <a:cs typeface="+mn-cs"/>
            </a:rPr>
            <a:t> Dados</a:t>
          </a:r>
          <a:endParaRPr lang="pt-PT" sz="1300" b="1">
            <a:solidFill>
              <a:sysClr val="windowText" lastClr="000000"/>
            </a:solidFill>
            <a:latin typeface="Arial Narrow" panose="020B0606020202030204" pitchFamily="34" charset="0"/>
            <a:ea typeface="+mn-ea"/>
            <a:cs typeface="+mn-cs"/>
          </a:endParaRPr>
        </a:p>
      </xdr:txBody>
    </xdr:sp>
    <xdr:clientData/>
  </xdr:twoCellAnchor>
  <xdr:oneCellAnchor>
    <xdr:from>
      <xdr:col>2</xdr:col>
      <xdr:colOff>114300</xdr:colOff>
      <xdr:row>10</xdr:row>
      <xdr:rowOff>85725</xdr:rowOff>
    </xdr:from>
    <xdr:ext cx="1800000" cy="324000"/>
    <xdr:sp macro="[0]!Retomar" textlink="">
      <xdr:nvSpPr>
        <xdr:cNvPr id="9" name="Rounded Rectangle 8">
          <a:extLst>
            <a:ext uri="{FF2B5EF4-FFF2-40B4-BE49-F238E27FC236}">
              <a16:creationId xmlns:a16="http://schemas.microsoft.com/office/drawing/2014/main" id="{00000000-0008-0000-0000-000009000000}"/>
            </a:ext>
          </a:extLst>
        </xdr:cNvPr>
        <xdr:cNvSpPr/>
      </xdr:nvSpPr>
      <xdr:spPr>
        <a:xfrm>
          <a:off x="6057900" y="449580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Retomar</a:t>
          </a:r>
        </a:p>
      </xdr:txBody>
    </xdr:sp>
    <xdr:clientData/>
  </xdr:oneCellAnchor>
  <xdr:oneCellAnchor>
    <xdr:from>
      <xdr:col>2</xdr:col>
      <xdr:colOff>114300</xdr:colOff>
      <xdr:row>7</xdr:row>
      <xdr:rowOff>85725</xdr:rowOff>
    </xdr:from>
    <xdr:ext cx="1800000" cy="324000"/>
    <xdr:sp macro="[0]!Botao_Verificar_Dados_Geral" textlink="">
      <xdr:nvSpPr>
        <xdr:cNvPr id="11" name="Rounded Rectangle 10">
          <a:extLst>
            <a:ext uri="{FF2B5EF4-FFF2-40B4-BE49-F238E27FC236}">
              <a16:creationId xmlns:a16="http://schemas.microsoft.com/office/drawing/2014/main" id="{00000000-0008-0000-0000-00000B000000}"/>
            </a:ext>
          </a:extLst>
        </xdr:cNvPr>
        <xdr:cNvSpPr/>
      </xdr:nvSpPr>
      <xdr:spPr>
        <a:xfrm>
          <a:off x="6057900" y="30670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xdr:oneCellAnchor>
  <xdr:oneCellAnchor>
    <xdr:from>
      <xdr:col>2</xdr:col>
      <xdr:colOff>114300</xdr:colOff>
      <xdr:row>9</xdr:row>
      <xdr:rowOff>85725</xdr:rowOff>
    </xdr:from>
    <xdr:ext cx="1800000" cy="324000"/>
    <xdr:sp macro="[0]!Reset_Valores_Proposta" textlink="">
      <xdr:nvSpPr>
        <xdr:cNvPr id="10" name="Rounded Rectangle 7">
          <a:extLst>
            <a:ext uri="{FF2B5EF4-FFF2-40B4-BE49-F238E27FC236}">
              <a16:creationId xmlns:a16="http://schemas.microsoft.com/office/drawing/2014/main" id="{00000000-0008-0000-0000-00000A000000}"/>
            </a:ext>
          </a:extLst>
        </xdr:cNvPr>
        <xdr:cNvSpPr/>
      </xdr:nvSpPr>
      <xdr:spPr>
        <a:xfrm>
          <a:off x="6057900" y="40195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Repor Valores Referência</a:t>
          </a:r>
        </a:p>
      </xdr:txBody>
    </xdr:sp>
    <xdr:clientData/>
  </xdr:oneCellAnchor>
  <xdr:oneCellAnchor>
    <xdr:from>
      <xdr:col>2</xdr:col>
      <xdr:colOff>114300</xdr:colOff>
      <xdr:row>5</xdr:row>
      <xdr:rowOff>85725</xdr:rowOff>
    </xdr:from>
    <xdr:ext cx="1800000" cy="324000"/>
    <xdr:sp macro="[0]!Mostrar_Tudo" textlink="">
      <xdr:nvSpPr>
        <xdr:cNvPr id="12" name="Rounded Rectangle 5">
          <a:extLst>
            <a:ext uri="{FF2B5EF4-FFF2-40B4-BE49-F238E27FC236}">
              <a16:creationId xmlns:a16="http://schemas.microsoft.com/office/drawing/2014/main" id="{00000000-0008-0000-0000-00000C000000}"/>
            </a:ext>
          </a:extLst>
        </xdr:cNvPr>
        <xdr:cNvSpPr/>
      </xdr:nvSpPr>
      <xdr:spPr>
        <a:xfrm>
          <a:off x="6057900" y="3067050"/>
          <a:ext cx="180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Mostrar Tudo</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361950</xdr:colOff>
      <xdr:row>28</xdr:row>
      <xdr:rowOff>885825</xdr:rowOff>
    </xdr:from>
    <xdr:ext cx="1708650" cy="324000"/>
    <xdr:sp macro="" textlink="">
      <xdr:nvSpPr>
        <xdr:cNvPr id="2" name="Rounded Rectangle 1">
          <a:hlinkClick xmlns:r="http://schemas.openxmlformats.org/officeDocument/2006/relationships" r:id="rId1"/>
          <a:extLst>
            <a:ext uri="{FF2B5EF4-FFF2-40B4-BE49-F238E27FC236}">
              <a16:creationId xmlns:a16="http://schemas.microsoft.com/office/drawing/2014/main" id="{C3823AE4-C94D-4DC1-B15B-95B9ABA298E7}"/>
            </a:ext>
          </a:extLst>
        </xdr:cNvPr>
        <xdr:cNvSpPr/>
      </xdr:nvSpPr>
      <xdr:spPr>
        <a:xfrm>
          <a:off x="361950" y="10229850"/>
          <a:ext cx="170865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100" b="1">
              <a:solidFill>
                <a:sysClr val="windowText" lastClr="000000"/>
              </a:solidFill>
              <a:latin typeface="Arial Narrow" panose="020B0606020202030204" pitchFamily="34" charset="0"/>
              <a:ea typeface="+mn-ea"/>
              <a:cs typeface="+mn-cs"/>
            </a:rPr>
            <a:t>Ligação IRIS</a:t>
          </a:r>
        </a:p>
      </xdr:txBody>
    </xdr:sp>
    <xdr:clientData fPrintsWithSheet="0"/>
  </xdr:oneCellAnchor>
</xdr:wsDr>
</file>

<file path=xl/drawings/drawing3.xml><?xml version="1.0" encoding="utf-8"?>
<xdr:wsDr xmlns:xdr="http://schemas.openxmlformats.org/drawingml/2006/spreadsheetDrawing" xmlns:a="http://schemas.openxmlformats.org/drawingml/2006/main">
  <xdr:oneCellAnchor>
    <xdr:from>
      <xdr:col>7</xdr:col>
      <xdr:colOff>14225</xdr:colOff>
      <xdr:row>41</xdr:row>
      <xdr:rowOff>61490</xdr:rowOff>
    </xdr:from>
    <xdr:ext cx="890649" cy="224270"/>
    <xdr:sp macro="[0]!Reset_Valores_Proposta" textlink="">
      <xdr:nvSpPr>
        <xdr:cNvPr id="3" name="Rounded Rectangle 1">
          <a:extLst>
            <a:ext uri="{FF2B5EF4-FFF2-40B4-BE49-F238E27FC236}">
              <a16:creationId xmlns:a16="http://schemas.microsoft.com/office/drawing/2014/main" id="{00000000-0008-0000-0300-000003000000}"/>
            </a:ext>
          </a:extLst>
        </xdr:cNvPr>
        <xdr:cNvSpPr/>
      </xdr:nvSpPr>
      <xdr:spPr>
        <a:xfrm>
          <a:off x="7239618" y="8246186"/>
          <a:ext cx="890649" cy="22427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100" b="1">
              <a:solidFill>
                <a:sysClr val="windowText" lastClr="000000"/>
              </a:solidFill>
              <a:latin typeface="Arial Narrow" panose="020B0606020202030204" pitchFamily="34" charset="0"/>
              <a:ea typeface="+mn-ea"/>
              <a:cs typeface="+mn-cs"/>
            </a:rPr>
            <a:t>Reset</a:t>
          </a:r>
        </a:p>
      </xdr:txBody>
    </xdr:sp>
    <xdr:clientData fPrintsWithSheet="0"/>
  </xdr:oneCellAnchor>
  <xdr:oneCellAnchor>
    <xdr:from>
      <xdr:col>8</xdr:col>
      <xdr:colOff>723900</xdr:colOff>
      <xdr:row>0</xdr:row>
      <xdr:rowOff>95250</xdr:rowOff>
    </xdr:from>
    <xdr:ext cx="1080000" cy="324000"/>
    <xdr:sp macro="[0]!Botao_Verificar_Equipa" textlink="">
      <xdr:nvSpPr>
        <xdr:cNvPr id="4" name="Rounded Rectangle 1">
          <a:extLst>
            <a:ext uri="{FF2B5EF4-FFF2-40B4-BE49-F238E27FC236}">
              <a16:creationId xmlns:a16="http://schemas.microsoft.com/office/drawing/2014/main" id="{00000000-0008-0000-0300-000004000000}"/>
            </a:ext>
          </a:extLst>
        </xdr:cNvPr>
        <xdr:cNvSpPr/>
      </xdr:nvSpPr>
      <xdr:spPr>
        <a:xfrm>
          <a:off x="8877300" y="95250"/>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100" b="1">
              <a:solidFill>
                <a:sysClr val="windowText" lastClr="000000"/>
              </a:solidFill>
              <a:latin typeface="Arial Narrow" panose="020B0606020202030204" pitchFamily="34" charset="0"/>
              <a:ea typeface="+mn-ea"/>
              <a:cs typeface="+mn-cs"/>
            </a:rPr>
            <a:t>Verificar</a:t>
          </a:r>
        </a:p>
      </xdr:txBody>
    </xdr:sp>
    <xdr:clientData fPrintsWithSheet="0"/>
  </xdr:oneCellAnchor>
  <xdr:twoCellAnchor>
    <xdr:from>
      <xdr:col>2</xdr:col>
      <xdr:colOff>201704</xdr:colOff>
      <xdr:row>7</xdr:row>
      <xdr:rowOff>298472</xdr:rowOff>
    </xdr:from>
    <xdr:to>
      <xdr:col>2</xdr:col>
      <xdr:colOff>2063027</xdr:colOff>
      <xdr:row>10</xdr:row>
      <xdr:rowOff>3197</xdr:rowOff>
    </xdr:to>
    <xdr:sp macro="" textlink="">
      <xdr:nvSpPr>
        <xdr:cNvPr id="2" name="Rectangle 1">
          <a:extLst>
            <a:ext uri="{FF2B5EF4-FFF2-40B4-BE49-F238E27FC236}">
              <a16:creationId xmlns:a16="http://schemas.microsoft.com/office/drawing/2014/main" id="{00000000-0008-0000-0300-000002000000}"/>
            </a:ext>
          </a:extLst>
        </xdr:cNvPr>
        <xdr:cNvSpPr/>
      </xdr:nvSpPr>
      <xdr:spPr>
        <a:xfrm rot="19434238">
          <a:off x="201704" y="1889147"/>
          <a:ext cx="1861323" cy="6667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pt-PT" sz="1100" b="1"/>
            <a:t>© </a:t>
          </a:r>
          <a:r>
            <a:rPr lang="pt-PT" sz="1100" b="1">
              <a:latin typeface="Arial" panose="020B0604020202020204" pitchFamily="34" charset="0"/>
              <a:cs typeface="Arial" panose="020B0604020202020204" pitchFamily="34" charset="0"/>
            </a:rPr>
            <a:t>INESC TEC</a:t>
          </a:r>
          <a:endParaRPr lang="pt-PT" sz="1100" b="1" baseline="0">
            <a:latin typeface="Arial" panose="020B0604020202020204" pitchFamily="34" charset="0"/>
            <a:cs typeface="Arial" panose="020B0604020202020204" pitchFamily="34" charset="0"/>
          </a:endParaRPr>
        </a:p>
        <a:p>
          <a:pPr algn="l"/>
          <a:r>
            <a:rPr lang="pt-PT" sz="1100" b="1">
              <a:solidFill>
                <a:schemeClr val="lt1"/>
              </a:solidFill>
              <a:effectLst/>
              <a:latin typeface="Arial" panose="020B0604020202020204" pitchFamily="34" charset="0"/>
              <a:ea typeface="+mn-ea"/>
              <a:cs typeface="Arial" panose="020B0604020202020204" pitchFamily="34" charset="0"/>
            </a:rPr>
            <a:t>Aplicação confidencial</a:t>
          </a:r>
          <a:endParaRPr lang="pt-PT" sz="1100" b="1" baseline="0">
            <a:latin typeface="Arial" panose="020B0604020202020204" pitchFamily="34" charset="0"/>
            <a:cs typeface="Arial" panose="020B0604020202020204" pitchFamily="34" charset="0"/>
          </a:endParaRPr>
        </a:p>
        <a:p>
          <a:pPr algn="l"/>
          <a:r>
            <a:rPr lang="pt-PT" sz="1100" b="1">
              <a:latin typeface="Arial" panose="020B0604020202020204" pitchFamily="34" charset="0"/>
              <a:cs typeface="Arial" panose="020B0604020202020204" pitchFamily="34" charset="0"/>
            </a:rPr>
            <a:t>Acesso reservado</a:t>
          </a:r>
        </a:p>
      </xdr:txBody>
    </xdr:sp>
    <xdr:clientData/>
  </xdr:twoCellAnchor>
  <mc:AlternateContent xmlns:mc="http://schemas.openxmlformats.org/markup-compatibility/2006">
    <mc:Choice xmlns:a14="http://schemas.microsoft.com/office/drawing/2010/main" Requires="a14">
      <xdr:twoCellAnchor editAs="oneCell">
        <xdr:from>
          <xdr:col>5</xdr:col>
          <xdr:colOff>730250</xdr:colOff>
          <xdr:row>28</xdr:row>
          <xdr:rowOff>158750</xdr:rowOff>
        </xdr:from>
        <xdr:to>
          <xdr:col>7</xdr:col>
          <xdr:colOff>69850</xdr:colOff>
          <xdr:row>30</xdr:row>
          <xdr:rowOff>25400</xdr:rowOff>
        </xdr:to>
        <xdr:sp macro="" textlink="">
          <xdr:nvSpPr>
            <xdr:cNvPr id="3085" name="Check Box 13" descr=" "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24</xdr:col>
      <xdr:colOff>576569</xdr:colOff>
      <xdr:row>0</xdr:row>
      <xdr:rowOff>99484</xdr:rowOff>
    </xdr:from>
    <xdr:ext cx="1080000" cy="324000"/>
    <xdr:sp macro="[0]!Botao_Verificar_Equipa" textlink="">
      <xdr:nvSpPr>
        <xdr:cNvPr id="2" name="Rounded Rectangle 1">
          <a:extLst>
            <a:ext uri="{FF2B5EF4-FFF2-40B4-BE49-F238E27FC236}">
              <a16:creationId xmlns:a16="http://schemas.microsoft.com/office/drawing/2014/main" id="{00000000-0008-0000-0400-000002000000}"/>
            </a:ext>
          </a:extLst>
        </xdr:cNvPr>
        <xdr:cNvSpPr/>
      </xdr:nvSpPr>
      <xdr:spPr>
        <a:xfrm>
          <a:off x="16799148" y="99484"/>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twoCellAnchor>
    <xdr:from>
      <xdr:col>15</xdr:col>
      <xdr:colOff>838199</xdr:colOff>
      <xdr:row>2</xdr:row>
      <xdr:rowOff>1</xdr:rowOff>
    </xdr:from>
    <xdr:to>
      <xdr:col>16</xdr:col>
      <xdr:colOff>857249</xdr:colOff>
      <xdr:row>3</xdr:row>
      <xdr:rowOff>0</xdr:rowOff>
    </xdr:to>
    <xdr:sp macro="" textlink="Fim">
      <xdr:nvSpPr>
        <xdr:cNvPr id="5" name="TextBox 4">
          <a:extLst>
            <a:ext uri="{FF2B5EF4-FFF2-40B4-BE49-F238E27FC236}">
              <a16:creationId xmlns:a16="http://schemas.microsoft.com/office/drawing/2014/main" id="{00000000-0008-0000-0400-000005000000}"/>
            </a:ext>
          </a:extLst>
        </xdr:cNvPr>
        <xdr:cNvSpPr txBox="1"/>
      </xdr:nvSpPr>
      <xdr:spPr>
        <a:xfrm>
          <a:off x="12020549" y="685801"/>
          <a:ext cx="866775" cy="200024"/>
        </a:xfrm>
        <a:prstGeom prst="rect">
          <a:avLst/>
        </a:prstGeom>
        <a:solidFill>
          <a:schemeClr val="accent3">
            <a:lumMod val="20000"/>
            <a:lumOff val="8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fld id="{EA71E94E-E997-4F62-A375-F042EAD19882}" type="TxLink">
            <a:rPr lang="en-US" sz="1100" b="0" i="0" u="none" strike="noStrike">
              <a:solidFill>
                <a:srgbClr val="000000"/>
              </a:solidFill>
              <a:latin typeface="Arial"/>
              <a:cs typeface="Arial"/>
            </a:rPr>
            <a:pPr algn="ctr"/>
            <a:t>12/12/2026</a:t>
          </a:fld>
          <a:endParaRPr lang="pt-PT" sz="1100"/>
        </a:p>
      </xdr:txBody>
    </xdr:sp>
    <xdr:clientData/>
  </xdr:twoCellAnchor>
  <xdr:oneCellAnchor>
    <xdr:from>
      <xdr:col>6</xdr:col>
      <xdr:colOff>270541</xdr:colOff>
      <xdr:row>1</xdr:row>
      <xdr:rowOff>100486</xdr:rowOff>
    </xdr:from>
    <xdr:ext cx="1110584" cy="324000"/>
    <xdr:sp macro="[0]!Botao_Ordenar" textlink="">
      <xdr:nvSpPr>
        <xdr:cNvPr id="6" name="Rounded Rectangle 1">
          <a:extLst>
            <a:ext uri="{FF2B5EF4-FFF2-40B4-BE49-F238E27FC236}">
              <a16:creationId xmlns:a16="http://schemas.microsoft.com/office/drawing/2014/main" id="{00000000-0008-0000-0400-000006000000}"/>
            </a:ext>
          </a:extLst>
        </xdr:cNvPr>
        <xdr:cNvSpPr/>
      </xdr:nvSpPr>
      <xdr:spPr>
        <a:xfrm>
          <a:off x="270541" y="401275"/>
          <a:ext cx="1110584"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Ordenar</a:t>
          </a:r>
        </a:p>
      </xdr:txBody>
    </xdr:sp>
    <xdr:clientData fPrintsWithSheet="0"/>
  </xdr:oneCellAnchor>
  <xdr:twoCellAnchor>
    <xdr:from>
      <xdr:col>6</xdr:col>
      <xdr:colOff>0</xdr:colOff>
      <xdr:row>66</xdr:row>
      <xdr:rowOff>65482</xdr:rowOff>
    </xdr:from>
    <xdr:to>
      <xdr:col>7</xdr:col>
      <xdr:colOff>1</xdr:colOff>
      <xdr:row>66</xdr:row>
      <xdr:rowOff>250029</xdr:rowOff>
    </xdr:to>
    <xdr:sp macro="" textlink="">
      <xdr:nvSpPr>
        <xdr:cNvPr id="7" name="TextBox 6">
          <a:extLst>
            <a:ext uri="{FF2B5EF4-FFF2-40B4-BE49-F238E27FC236}">
              <a16:creationId xmlns:a16="http://schemas.microsoft.com/office/drawing/2014/main" id="{00000000-0008-0000-0400-000007000000}"/>
            </a:ext>
          </a:extLst>
        </xdr:cNvPr>
        <xdr:cNvSpPr txBox="1"/>
      </xdr:nvSpPr>
      <xdr:spPr>
        <a:xfrm>
          <a:off x="3006328" y="9292826"/>
          <a:ext cx="446486" cy="184547"/>
        </a:xfrm>
        <a:prstGeom prst="rect">
          <a:avLst/>
        </a:prstGeom>
        <a:solidFill>
          <a:srgbClr val="FFC000"/>
        </a:solidFill>
        <a:ln w="31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PT" sz="1100">
              <a:latin typeface="Arial" panose="020B0604020202020204" pitchFamily="34" charset="0"/>
              <a:cs typeface="Arial" panose="020B0604020202020204" pitchFamily="34" charset="0"/>
            </a:rPr>
            <a:t>I</a:t>
          </a:r>
        </a:p>
      </xdr:txBody>
    </xdr:sp>
    <xdr:clientData/>
  </xdr:twoCellAnchor>
  <xdr:twoCellAnchor>
    <xdr:from>
      <xdr:col>6</xdr:col>
      <xdr:colOff>247651</xdr:colOff>
      <xdr:row>8</xdr:row>
      <xdr:rowOff>37193</xdr:rowOff>
    </xdr:from>
    <xdr:to>
      <xdr:col>8</xdr:col>
      <xdr:colOff>56630</xdr:colOff>
      <xdr:row>8</xdr:row>
      <xdr:rowOff>276225</xdr:rowOff>
    </xdr:to>
    <xdr:sp macro="[0]!Expandir_Linhas_RH_A" textlink="">
      <xdr:nvSpPr>
        <xdr:cNvPr id="8" name="Rounded Rectangle 1">
          <a:extLst>
            <a:ext uri="{FF2B5EF4-FFF2-40B4-BE49-F238E27FC236}">
              <a16:creationId xmlns:a16="http://schemas.microsoft.com/office/drawing/2014/main" id="{00000000-0008-0000-0400-000008000000}"/>
            </a:ext>
          </a:extLst>
        </xdr:cNvPr>
        <xdr:cNvSpPr/>
      </xdr:nvSpPr>
      <xdr:spPr>
        <a:xfrm>
          <a:off x="3857125" y="1701561"/>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Expandir</a:t>
          </a:r>
        </a:p>
      </xdr:txBody>
    </xdr:sp>
    <xdr:clientData fPrintsWithSheet="0"/>
  </xdr:twoCellAnchor>
  <xdr:twoCellAnchor>
    <xdr:from>
      <xdr:col>8</xdr:col>
      <xdr:colOff>190501</xdr:colOff>
      <xdr:row>8</xdr:row>
      <xdr:rowOff>37193</xdr:rowOff>
    </xdr:from>
    <xdr:to>
      <xdr:col>9</xdr:col>
      <xdr:colOff>380480</xdr:colOff>
      <xdr:row>8</xdr:row>
      <xdr:rowOff>276225</xdr:rowOff>
    </xdr:to>
    <xdr:sp macro="[0]!Compactar_Linhas_RH_A" textlink="">
      <xdr:nvSpPr>
        <xdr:cNvPr id="10" name="Rounded Rectangle 1">
          <a:extLst>
            <a:ext uri="{FF2B5EF4-FFF2-40B4-BE49-F238E27FC236}">
              <a16:creationId xmlns:a16="http://schemas.microsoft.com/office/drawing/2014/main" id="{00000000-0008-0000-0400-00000A000000}"/>
            </a:ext>
          </a:extLst>
        </xdr:cNvPr>
        <xdr:cNvSpPr/>
      </xdr:nvSpPr>
      <xdr:spPr>
        <a:xfrm>
          <a:off x="5103396" y="1701561"/>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Compactar</a:t>
          </a:r>
        </a:p>
      </xdr:txBody>
    </xdr:sp>
    <xdr:clientData fPrintsWithSheet="0"/>
  </xdr:twoCellAnchor>
  <xdr:twoCellAnchor>
    <xdr:from>
      <xdr:col>9</xdr:col>
      <xdr:colOff>514351</xdr:colOff>
      <xdr:row>8</xdr:row>
      <xdr:rowOff>37193</xdr:rowOff>
    </xdr:from>
    <xdr:to>
      <xdr:col>10</xdr:col>
      <xdr:colOff>975041</xdr:colOff>
      <xdr:row>8</xdr:row>
      <xdr:rowOff>276225</xdr:rowOff>
    </xdr:to>
    <xdr:sp macro="[0]!Esconder_Linhas_RH_A" textlink="">
      <xdr:nvSpPr>
        <xdr:cNvPr id="11" name="Rounded Rectangle 1">
          <a:extLst>
            <a:ext uri="{FF2B5EF4-FFF2-40B4-BE49-F238E27FC236}">
              <a16:creationId xmlns:a16="http://schemas.microsoft.com/office/drawing/2014/main" id="{00000000-0008-0000-0400-00000B000000}"/>
            </a:ext>
          </a:extLst>
        </xdr:cNvPr>
        <xdr:cNvSpPr/>
      </xdr:nvSpPr>
      <xdr:spPr>
        <a:xfrm>
          <a:off x="6349667" y="1701561"/>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Esconder</a:t>
          </a:r>
        </a:p>
      </xdr:txBody>
    </xdr:sp>
    <xdr:clientData fPrintsWithSheet="0"/>
  </xdr:twoCellAnchor>
  <xdr:twoCellAnchor>
    <xdr:from>
      <xdr:col>6</xdr:col>
      <xdr:colOff>247651</xdr:colOff>
      <xdr:row>31</xdr:row>
      <xdr:rowOff>37193</xdr:rowOff>
    </xdr:from>
    <xdr:to>
      <xdr:col>8</xdr:col>
      <xdr:colOff>56630</xdr:colOff>
      <xdr:row>31</xdr:row>
      <xdr:rowOff>276225</xdr:rowOff>
    </xdr:to>
    <xdr:sp macro="[0]!Expandir_Linhas_RH_B" textlink="">
      <xdr:nvSpPr>
        <xdr:cNvPr id="14" name="Rounded Rectangle 1">
          <a:extLst>
            <a:ext uri="{FF2B5EF4-FFF2-40B4-BE49-F238E27FC236}">
              <a16:creationId xmlns:a16="http://schemas.microsoft.com/office/drawing/2014/main" id="{00000000-0008-0000-0400-00000E000000}"/>
            </a:ext>
          </a:extLst>
        </xdr:cNvPr>
        <xdr:cNvSpPr/>
      </xdr:nvSpPr>
      <xdr:spPr>
        <a:xfrm>
          <a:off x="3857125" y="2303140"/>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Expandir</a:t>
          </a:r>
        </a:p>
      </xdr:txBody>
    </xdr:sp>
    <xdr:clientData fPrintsWithSheet="0"/>
  </xdr:twoCellAnchor>
  <xdr:twoCellAnchor>
    <xdr:from>
      <xdr:col>8</xdr:col>
      <xdr:colOff>190501</xdr:colOff>
      <xdr:row>31</xdr:row>
      <xdr:rowOff>37193</xdr:rowOff>
    </xdr:from>
    <xdr:to>
      <xdr:col>9</xdr:col>
      <xdr:colOff>378976</xdr:colOff>
      <xdr:row>31</xdr:row>
      <xdr:rowOff>276225</xdr:rowOff>
    </xdr:to>
    <xdr:sp macro="[0]!Compactar_Linhas_RH_B" textlink="">
      <xdr:nvSpPr>
        <xdr:cNvPr id="15" name="Rounded Rectangle 1">
          <a:extLst>
            <a:ext uri="{FF2B5EF4-FFF2-40B4-BE49-F238E27FC236}">
              <a16:creationId xmlns:a16="http://schemas.microsoft.com/office/drawing/2014/main" id="{00000000-0008-0000-0400-00000F000000}"/>
            </a:ext>
          </a:extLst>
        </xdr:cNvPr>
        <xdr:cNvSpPr/>
      </xdr:nvSpPr>
      <xdr:spPr>
        <a:xfrm>
          <a:off x="5103396" y="1701561"/>
          <a:ext cx="1110896"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Compactar</a:t>
          </a:r>
        </a:p>
      </xdr:txBody>
    </xdr:sp>
    <xdr:clientData fPrintsWithSheet="0"/>
  </xdr:twoCellAnchor>
  <xdr:twoCellAnchor>
    <xdr:from>
      <xdr:col>9</xdr:col>
      <xdr:colOff>514351</xdr:colOff>
      <xdr:row>31</xdr:row>
      <xdr:rowOff>37193</xdr:rowOff>
    </xdr:from>
    <xdr:to>
      <xdr:col>10</xdr:col>
      <xdr:colOff>975041</xdr:colOff>
      <xdr:row>31</xdr:row>
      <xdr:rowOff>276225</xdr:rowOff>
    </xdr:to>
    <xdr:sp macro="[0]!Esconder_Linhas_RH_B" textlink="">
      <xdr:nvSpPr>
        <xdr:cNvPr id="16" name="Rounded Rectangle 1">
          <a:extLst>
            <a:ext uri="{FF2B5EF4-FFF2-40B4-BE49-F238E27FC236}">
              <a16:creationId xmlns:a16="http://schemas.microsoft.com/office/drawing/2014/main" id="{00000000-0008-0000-0400-000010000000}"/>
            </a:ext>
          </a:extLst>
        </xdr:cNvPr>
        <xdr:cNvSpPr/>
      </xdr:nvSpPr>
      <xdr:spPr>
        <a:xfrm>
          <a:off x="6349667" y="2303140"/>
          <a:ext cx="1112400" cy="239032"/>
        </a:xfrm>
        <a:prstGeom prst="roundRect">
          <a:avLst/>
        </a:prstGeom>
        <a:solidFill>
          <a:schemeClr val="tx1">
            <a:lumMod val="65000"/>
            <a:lumOff val="35000"/>
          </a:schemeClr>
        </a:solidFill>
        <a:ln>
          <a:solidFill>
            <a:schemeClr val="bg1">
              <a:lumMod val="85000"/>
            </a:schemeClr>
          </a:solidFill>
        </a:ln>
        <a:scene3d>
          <a:camera prst="orthographicFront"/>
          <a:lightRig rig="threePt" dir="t"/>
        </a:scene3d>
        <a:sp3d>
          <a:bevelT w="0" h="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200" b="1">
              <a:solidFill>
                <a:schemeClr val="bg1"/>
              </a:solidFill>
              <a:latin typeface="Arial Narrow" panose="020B0606020202030204" pitchFamily="34" charset="0"/>
              <a:ea typeface="+mn-ea"/>
              <a:cs typeface="+mn-cs"/>
            </a:rPr>
            <a:t>Esconder</a:t>
          </a:r>
        </a:p>
      </xdr:txBody>
    </xdr:sp>
    <xdr:clientData fPrintsWithSheet="0"/>
  </xdr:twoCellAnchor>
  <xdr:twoCellAnchor>
    <xdr:from>
      <xdr:col>22</xdr:col>
      <xdr:colOff>52129</xdr:colOff>
      <xdr:row>1</xdr:row>
      <xdr:rowOff>59657</xdr:rowOff>
    </xdr:from>
    <xdr:to>
      <xdr:col>23</xdr:col>
      <xdr:colOff>312813</xdr:colOff>
      <xdr:row>3</xdr:row>
      <xdr:rowOff>64920</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18179708" y="360446"/>
          <a:ext cx="1112921" cy="31607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72000" bIns="0" rtlCol="0" anchor="ctr"/>
        <a:lstStyle/>
        <a:p>
          <a:pPr marL="0" indent="0" algn="l"/>
          <a:r>
            <a:rPr lang="pt-PT" sz="1100">
              <a:solidFill>
                <a:srgbClr val="FF0000"/>
              </a:solidFill>
              <a:latin typeface="+mn-lt"/>
              <a:ea typeface="+mn-ea"/>
              <a:cs typeface="+mn-cs"/>
              <a:sym typeface="Wingdings" panose="05000000000000000000" pitchFamily="2" charset="2"/>
            </a:rPr>
            <a:t> </a:t>
          </a:r>
          <a:r>
            <a:rPr lang="pt-PT" sz="1200">
              <a:solidFill>
                <a:srgbClr val="FF0000"/>
              </a:solidFill>
              <a:latin typeface="Arial" panose="020B0604020202020204" pitchFamily="34" charset="0"/>
              <a:ea typeface="+mn-ea"/>
              <a:cs typeface="Arial" panose="020B0604020202020204" pitchFamily="34" charset="0"/>
            </a:rPr>
            <a:t>Selecionar</a:t>
          </a:r>
          <a:endParaRPr lang="pt-PT" sz="1100">
            <a:solidFill>
              <a:srgbClr val="FF0000"/>
            </a:solidFill>
            <a:latin typeface="Arial" panose="020B0604020202020204" pitchFamily="34" charset="0"/>
            <a:ea typeface="+mn-ea"/>
            <a:cs typeface="Arial" panose="020B0604020202020204" pitchFamily="34" charset="0"/>
          </a:endParaRPr>
        </a:p>
      </xdr:txBody>
    </xdr:sp>
    <xdr:clientData/>
  </xdr:twoCellAnchor>
  <xdr:twoCellAnchor>
    <xdr:from>
      <xdr:col>10</xdr:col>
      <xdr:colOff>29578</xdr:colOff>
      <xdr:row>2</xdr:row>
      <xdr:rowOff>1</xdr:rowOff>
    </xdr:from>
    <xdr:to>
      <xdr:col>10</xdr:col>
      <xdr:colOff>1137987</xdr:colOff>
      <xdr:row>4</xdr:row>
      <xdr:rowOff>9274</xdr:rowOff>
    </xdr:to>
    <xdr:sp macro="" textlink="">
      <xdr:nvSpPr>
        <xdr:cNvPr id="21" name="TextBox 20">
          <a:extLst>
            <a:ext uri="{FF2B5EF4-FFF2-40B4-BE49-F238E27FC236}">
              <a16:creationId xmlns:a16="http://schemas.microsoft.com/office/drawing/2014/main" id="{00000000-0008-0000-0400-000015000000}"/>
            </a:ext>
          </a:extLst>
        </xdr:cNvPr>
        <xdr:cNvSpPr txBox="1"/>
      </xdr:nvSpPr>
      <xdr:spPr>
        <a:xfrm>
          <a:off x="2907131" y="411080"/>
          <a:ext cx="1108409" cy="32008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72000" bIns="0" rtlCol="0" anchor="ctr"/>
        <a:lstStyle/>
        <a:p>
          <a:pPr algn="l"/>
          <a:r>
            <a:rPr lang="pt-PT" sz="1100">
              <a:solidFill>
                <a:srgbClr val="FF0000"/>
              </a:solidFill>
              <a:sym typeface="Wingdings" panose="05000000000000000000" pitchFamily="2" charset="2"/>
            </a:rPr>
            <a:t> </a:t>
          </a:r>
          <a:r>
            <a:rPr lang="pt-PT" sz="1200">
              <a:solidFill>
                <a:srgbClr val="FF0000"/>
              </a:solidFill>
              <a:latin typeface="Arial" panose="020B0604020202020204" pitchFamily="34" charset="0"/>
              <a:cs typeface="Arial" panose="020B0604020202020204" pitchFamily="34" charset="0"/>
            </a:rPr>
            <a:t>Selecionar</a:t>
          </a:r>
          <a:endParaRPr lang="pt-PT" sz="1100">
            <a:solidFill>
              <a:srgbClr val="FF0000"/>
            </a:solidFill>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15</xdr:col>
      <xdr:colOff>914400</xdr:colOff>
      <xdr:row>0</xdr:row>
      <xdr:rowOff>104774</xdr:rowOff>
    </xdr:from>
    <xdr:ext cx="1080000" cy="324000"/>
    <xdr:sp macro="[0]!Botao_Verificar_Dados_Geral" textlink="">
      <xdr:nvSpPr>
        <xdr:cNvPr id="2" name="Rounded Rectangle 1">
          <a:extLst>
            <a:ext uri="{FF2B5EF4-FFF2-40B4-BE49-F238E27FC236}">
              <a16:creationId xmlns:a16="http://schemas.microsoft.com/office/drawing/2014/main" id="{00000000-0008-0000-0500-000002000000}"/>
            </a:ext>
          </a:extLst>
        </xdr:cNvPr>
        <xdr:cNvSpPr/>
      </xdr:nvSpPr>
      <xdr:spPr>
        <a:xfrm>
          <a:off x="12687300" y="104774"/>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6.xml><?xml version="1.0" encoding="utf-8"?>
<xdr:wsDr xmlns:xdr="http://schemas.openxmlformats.org/drawingml/2006/spreadsheetDrawing" xmlns:a="http://schemas.openxmlformats.org/drawingml/2006/main">
  <xdr:oneCellAnchor>
    <xdr:from>
      <xdr:col>15</xdr:col>
      <xdr:colOff>2133600</xdr:colOff>
      <xdr:row>0</xdr:row>
      <xdr:rowOff>114299</xdr:rowOff>
    </xdr:from>
    <xdr:ext cx="1080000" cy="324000"/>
    <xdr:sp macro="[0]!Botao_Verificar_Dados_Geral" textlink="">
      <xdr:nvSpPr>
        <xdr:cNvPr id="2" name="Rounded Rectangle 1">
          <a:extLst>
            <a:ext uri="{FF2B5EF4-FFF2-40B4-BE49-F238E27FC236}">
              <a16:creationId xmlns:a16="http://schemas.microsoft.com/office/drawing/2014/main" id="{00000000-0008-0000-0600-000002000000}"/>
            </a:ext>
          </a:extLst>
        </xdr:cNvPr>
        <xdr:cNvSpPr/>
      </xdr:nvSpPr>
      <xdr:spPr>
        <a:xfrm>
          <a:off x="12868275" y="114299"/>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7.xml><?xml version="1.0" encoding="utf-8"?>
<xdr:wsDr xmlns:xdr="http://schemas.openxmlformats.org/drawingml/2006/spreadsheetDrawing" xmlns:a="http://schemas.openxmlformats.org/drawingml/2006/main">
  <xdr:oneCellAnchor>
    <xdr:from>
      <xdr:col>8</xdr:col>
      <xdr:colOff>0</xdr:colOff>
      <xdr:row>0</xdr:row>
      <xdr:rowOff>142875</xdr:rowOff>
    </xdr:from>
    <xdr:ext cx="1080000" cy="324000"/>
    <xdr:sp macro="[0]!Botao_Verificar_Dados_Geral" textlink="">
      <xdr:nvSpPr>
        <xdr:cNvPr id="2" name="Rounded Rectangle 1">
          <a:extLst>
            <a:ext uri="{FF2B5EF4-FFF2-40B4-BE49-F238E27FC236}">
              <a16:creationId xmlns:a16="http://schemas.microsoft.com/office/drawing/2014/main" id="{00000000-0008-0000-0700-000002000000}"/>
            </a:ext>
          </a:extLst>
        </xdr:cNvPr>
        <xdr:cNvSpPr/>
      </xdr:nvSpPr>
      <xdr:spPr>
        <a:xfrm>
          <a:off x="8020050" y="142875"/>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8.xml><?xml version="1.0" encoding="utf-8"?>
<xdr:wsDr xmlns:xdr="http://schemas.openxmlformats.org/drawingml/2006/spreadsheetDrawing" xmlns:a="http://schemas.openxmlformats.org/drawingml/2006/main">
  <xdr:oneCellAnchor>
    <xdr:from>
      <xdr:col>7</xdr:col>
      <xdr:colOff>723900</xdr:colOff>
      <xdr:row>0</xdr:row>
      <xdr:rowOff>133350</xdr:rowOff>
    </xdr:from>
    <xdr:ext cx="1080000" cy="324000"/>
    <xdr:sp macro="[0]!Botao_Verificar_Dados_Geral" textlink="">
      <xdr:nvSpPr>
        <xdr:cNvPr id="2" name="Rounded Rectangle 1">
          <a:extLst>
            <a:ext uri="{FF2B5EF4-FFF2-40B4-BE49-F238E27FC236}">
              <a16:creationId xmlns:a16="http://schemas.microsoft.com/office/drawing/2014/main" id="{00000000-0008-0000-0800-000002000000}"/>
            </a:ext>
          </a:extLst>
        </xdr:cNvPr>
        <xdr:cNvSpPr/>
      </xdr:nvSpPr>
      <xdr:spPr>
        <a:xfrm>
          <a:off x="6105525" y="133350"/>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9.xml><?xml version="1.0" encoding="utf-8"?>
<xdr:wsDr xmlns:xdr="http://schemas.openxmlformats.org/drawingml/2006/spreadsheetDrawing" xmlns:a="http://schemas.openxmlformats.org/drawingml/2006/main">
  <xdr:twoCellAnchor>
    <xdr:from>
      <xdr:col>2</xdr:col>
      <xdr:colOff>645583</xdr:colOff>
      <xdr:row>47</xdr:row>
      <xdr:rowOff>190500</xdr:rowOff>
    </xdr:from>
    <xdr:to>
      <xdr:col>3</xdr:col>
      <xdr:colOff>12700</xdr:colOff>
      <xdr:row>48</xdr:row>
      <xdr:rowOff>189441</xdr:rowOff>
    </xdr:to>
    <xdr:sp macro="" textlink="">
      <xdr:nvSpPr>
        <xdr:cNvPr id="2" name="Rectangle 1">
          <a:extLst>
            <a:ext uri="{FF2B5EF4-FFF2-40B4-BE49-F238E27FC236}">
              <a16:creationId xmlns:a16="http://schemas.microsoft.com/office/drawing/2014/main" id="{00000000-0008-0000-0900-000002000000}"/>
            </a:ext>
          </a:extLst>
        </xdr:cNvPr>
        <xdr:cNvSpPr/>
      </xdr:nvSpPr>
      <xdr:spPr>
        <a:xfrm>
          <a:off x="645583" y="13885333"/>
          <a:ext cx="838200" cy="200025"/>
        </a:xfrm>
        <a:prstGeom prst="rect">
          <a:avLst/>
        </a:prstGeom>
        <a:solidFill>
          <a:srgbClr val="FF0000"/>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PT" sz="1100"/>
        </a:p>
      </xdr:txBody>
    </xdr:sp>
    <xdr:clientData/>
  </xdr:twoCellAnchor>
  <xdr:oneCellAnchor>
    <xdr:from>
      <xdr:col>13</xdr:col>
      <xdr:colOff>47625</xdr:colOff>
      <xdr:row>1</xdr:row>
      <xdr:rowOff>161925</xdr:rowOff>
    </xdr:from>
    <xdr:ext cx="1080000" cy="324000"/>
    <xdr:sp macro="[0]!Botao_Verificar_Dados_Geral" textlink="">
      <xdr:nvSpPr>
        <xdr:cNvPr id="3" name="Rounded Rectangle 1">
          <a:extLst>
            <a:ext uri="{FF2B5EF4-FFF2-40B4-BE49-F238E27FC236}">
              <a16:creationId xmlns:a16="http://schemas.microsoft.com/office/drawing/2014/main" id="{00000000-0008-0000-0900-000003000000}"/>
            </a:ext>
          </a:extLst>
        </xdr:cNvPr>
        <xdr:cNvSpPr/>
      </xdr:nvSpPr>
      <xdr:spPr>
        <a:xfrm>
          <a:off x="5172075" y="466725"/>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wsDr>
</file>

<file path=xl/drawings/drawing10.xml><?xml version="1.0" encoding="utf-8"?>
<xdr:wsDr xmlns:xdr="http://schemas.openxmlformats.org/drawingml/2006/spreadsheetDrawing" xmlns:a="http://schemas.openxmlformats.org/drawingml/2006/main">
  <xdr:oneCellAnchor>
    <xdr:from>
      <xdr:col>12</xdr:col>
      <xdr:colOff>628650</xdr:colOff>
      <xdr:row>0</xdr:row>
      <xdr:rowOff>142875</xdr:rowOff>
    </xdr:from>
    <xdr:ext cx="1440000" cy="324000"/>
    <xdr:sp macro="[0]!Limpar_Dados_SAP" textlink="">
      <xdr:nvSpPr>
        <xdr:cNvPr id="2" name="Rounded Rectangle 8">
          <a:extLst>
            <a:ext uri="{FF2B5EF4-FFF2-40B4-BE49-F238E27FC236}">
              <a16:creationId xmlns:a16="http://schemas.microsoft.com/office/drawing/2014/main" id="{00000000-0008-0000-0A00-000002000000}"/>
            </a:ext>
          </a:extLst>
        </xdr:cNvPr>
        <xdr:cNvSpPr/>
      </xdr:nvSpPr>
      <xdr:spPr>
        <a:xfrm>
          <a:off x="9582150" y="142875"/>
          <a:ext cx="144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Apagar</a:t>
          </a:r>
          <a:r>
            <a:rPr lang="pt-PT" sz="1300" b="1" baseline="0">
              <a:solidFill>
                <a:sysClr val="windowText" lastClr="000000"/>
              </a:solidFill>
              <a:latin typeface="Arial Narrow" panose="020B0606020202030204" pitchFamily="34" charset="0"/>
              <a:ea typeface="+mn-ea"/>
              <a:cs typeface="+mn-cs"/>
            </a:rPr>
            <a:t> Dados</a:t>
          </a:r>
          <a:endParaRPr lang="pt-PT" sz="1300" b="1">
            <a:solidFill>
              <a:sysClr val="windowText" lastClr="000000"/>
            </a:solidFill>
            <a:latin typeface="Arial Narrow" panose="020B0606020202030204" pitchFamily="34" charset="0"/>
            <a:ea typeface="+mn-ea"/>
            <a:cs typeface="+mn-cs"/>
          </a:endParaRPr>
        </a:p>
      </xdr:txBody>
    </xdr:sp>
    <xdr:clientData/>
  </xdr:oneCellAnchor>
  <xdr:oneCellAnchor>
    <xdr:from>
      <xdr:col>17</xdr:col>
      <xdr:colOff>457200</xdr:colOff>
      <xdr:row>0</xdr:row>
      <xdr:rowOff>142875</xdr:rowOff>
    </xdr:from>
    <xdr:ext cx="1080000" cy="324000"/>
    <xdr:sp macro="[0]!Botao_Verificar_Dados_Geral" textlink="">
      <xdr:nvSpPr>
        <xdr:cNvPr id="3" name="Rounded Rectangle 1">
          <a:extLst>
            <a:ext uri="{FF2B5EF4-FFF2-40B4-BE49-F238E27FC236}">
              <a16:creationId xmlns:a16="http://schemas.microsoft.com/office/drawing/2014/main" id="{00000000-0008-0000-0A00-000003000000}"/>
            </a:ext>
          </a:extLst>
        </xdr:cNvPr>
        <xdr:cNvSpPr/>
      </xdr:nvSpPr>
      <xdr:spPr>
        <a:xfrm>
          <a:off x="12773025" y="142875"/>
          <a:ext cx="108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Verificar</a:t>
          </a:r>
        </a:p>
      </xdr:txBody>
    </xdr:sp>
    <xdr:clientData fPrintsWithSheet="0"/>
  </xdr:oneCellAnchor>
  <xdr:oneCellAnchor>
    <xdr:from>
      <xdr:col>14</xdr:col>
      <xdr:colOff>723900</xdr:colOff>
      <xdr:row>0</xdr:row>
      <xdr:rowOff>142875</xdr:rowOff>
    </xdr:from>
    <xdr:ext cx="1440000" cy="324000"/>
    <xdr:sp macro="[0]!Carregar_Orcamento" textlink="">
      <xdr:nvSpPr>
        <xdr:cNvPr id="4" name="Rounded Rectangle 8">
          <a:extLst>
            <a:ext uri="{FF2B5EF4-FFF2-40B4-BE49-F238E27FC236}">
              <a16:creationId xmlns:a16="http://schemas.microsoft.com/office/drawing/2014/main" id="{00000000-0008-0000-0A00-000004000000}"/>
            </a:ext>
          </a:extLst>
        </xdr:cNvPr>
        <xdr:cNvSpPr/>
      </xdr:nvSpPr>
      <xdr:spPr>
        <a:xfrm>
          <a:off x="11239500" y="142875"/>
          <a:ext cx="1440000" cy="324000"/>
        </a:xfrm>
        <a:prstGeom prst="roundRect">
          <a:avLst/>
        </a:prstGeom>
        <a:solidFill>
          <a:schemeClr val="tx2">
            <a:lumMod val="40000"/>
            <a:lumOff val="6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PT" sz="1300" b="1">
              <a:solidFill>
                <a:sysClr val="windowText" lastClr="000000"/>
              </a:solidFill>
              <a:latin typeface="Arial Narrow" panose="020B0606020202030204" pitchFamily="34" charset="0"/>
              <a:ea typeface="+mn-ea"/>
              <a:cs typeface="+mn-cs"/>
            </a:rPr>
            <a:t>Carregar</a:t>
          </a:r>
          <a:r>
            <a:rPr lang="pt-PT" sz="1300" b="1" baseline="0">
              <a:solidFill>
                <a:sysClr val="windowText" lastClr="000000"/>
              </a:solidFill>
              <a:latin typeface="Arial Narrow" panose="020B0606020202030204" pitchFamily="34" charset="0"/>
              <a:ea typeface="+mn-ea"/>
              <a:cs typeface="+mn-cs"/>
            </a:rPr>
            <a:t> Orçamento</a:t>
          </a:r>
          <a:endParaRPr lang="pt-PT" sz="1300" b="1">
            <a:solidFill>
              <a:sysClr val="windowText" lastClr="000000"/>
            </a:solidFill>
            <a:latin typeface="Arial Narrow" panose="020B0606020202030204" pitchFamily="34" charset="0"/>
            <a:ea typeface="+mn-ea"/>
            <a:cs typeface="+mn-cs"/>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vmlDrawing" Target="../drawings/vmlDrawing6.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omments" Target="../comments3.xml"/><Relationship Id="rId4" Type="http://schemas.openxmlformats.org/officeDocument/2006/relationships/vmlDrawing" Target="../drawings/vmlDrawing12.v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FF0000"/>
  </sheetPr>
  <dimension ref="A1:K76"/>
  <sheetViews>
    <sheetView showGridLines="0" zoomScaleNormal="100" workbookViewId="0">
      <selection sqref="A1:C1"/>
    </sheetView>
  </sheetViews>
  <sheetFormatPr defaultColWidth="9.140625" defaultRowHeight="12.6"/>
  <cols>
    <col min="1" max="1" width="85" style="81" customWidth="1"/>
    <col min="2" max="2" width="8.140625" style="181" customWidth="1"/>
    <col min="3" max="3" width="30.140625" style="81" customWidth="1"/>
    <col min="4" max="4" width="9.140625" style="181"/>
    <col min="5" max="10" width="9.140625" style="81"/>
    <col min="11" max="11" width="9.140625" style="202"/>
    <col min="12" max="16384" width="9.140625" style="81"/>
  </cols>
  <sheetData>
    <row r="1" spans="1:11" s="3" customFormat="1" ht="70.5" customHeight="1">
      <c r="A1" s="554" t="s">
        <v>0</v>
      </c>
      <c r="B1" s="554"/>
      <c r="C1" s="554"/>
      <c r="D1" s="251"/>
      <c r="E1" s="83"/>
      <c r="F1" s="83"/>
      <c r="G1" s="83"/>
      <c r="H1" s="83"/>
      <c r="I1" s="82"/>
      <c r="K1" s="197"/>
    </row>
    <row r="2" spans="1:11" ht="14.1">
      <c r="A2" s="31"/>
    </row>
    <row r="3" spans="1:11" ht="37.5" customHeight="1">
      <c r="A3" s="553" t="s">
        <v>1</v>
      </c>
      <c r="B3" s="553"/>
    </row>
    <row r="4" spans="1:11" s="202" customFormat="1" ht="37.5" customHeight="1">
      <c r="A4" s="553" t="s">
        <v>2</v>
      </c>
      <c r="B4" s="553"/>
      <c r="D4" s="247"/>
    </row>
    <row r="5" spans="1:11" ht="37.5" customHeight="1">
      <c r="A5" s="553" t="s">
        <v>3</v>
      </c>
      <c r="B5" s="553"/>
    </row>
    <row r="6" spans="1:11" ht="37.5" customHeight="1">
      <c r="A6" s="553" t="s">
        <v>4</v>
      </c>
      <c r="B6" s="553"/>
    </row>
    <row r="7" spans="1:11" ht="37.5" customHeight="1">
      <c r="A7" s="553" t="s">
        <v>5</v>
      </c>
      <c r="B7" s="553"/>
    </row>
    <row r="8" spans="1:11" ht="37.5" customHeight="1">
      <c r="A8" s="553" t="s">
        <v>6</v>
      </c>
      <c r="B8" s="553"/>
    </row>
    <row r="9" spans="1:11" ht="37.5" customHeight="1">
      <c r="A9" s="553" t="s">
        <v>7</v>
      </c>
      <c r="B9" s="553"/>
    </row>
    <row r="10" spans="1:11" ht="37.5" customHeight="1">
      <c r="A10" s="553" t="s">
        <v>8</v>
      </c>
      <c r="B10" s="553"/>
    </row>
    <row r="11" spans="1:11" ht="37.5" customHeight="1">
      <c r="A11" s="553" t="s">
        <v>9</v>
      </c>
      <c r="B11" s="553"/>
    </row>
    <row r="12" spans="1:11" ht="14.1">
      <c r="A12" s="31"/>
    </row>
    <row r="13" spans="1:11" ht="22.5" customHeight="1">
      <c r="A13" s="250" t="s">
        <v>10</v>
      </c>
      <c r="B13" s="252">
        <v>2024</v>
      </c>
    </row>
    <row r="14" spans="1:11" ht="33.950000000000003" customHeight="1">
      <c r="A14" s="522" t="s">
        <v>11</v>
      </c>
      <c r="B14" s="524" t="s">
        <v>12</v>
      </c>
      <c r="C14" s="31"/>
    </row>
    <row r="15" spans="1:11" ht="33.950000000000003" customHeight="1">
      <c r="A15" s="523" t="s">
        <v>13</v>
      </c>
      <c r="B15" s="524" t="s">
        <v>12</v>
      </c>
      <c r="C15" s="31"/>
    </row>
    <row r="16" spans="1:11" ht="33.950000000000003" customHeight="1">
      <c r="A16" s="523" t="s">
        <v>14</v>
      </c>
      <c r="B16" s="524" t="s">
        <v>12</v>
      </c>
      <c r="C16" s="31"/>
    </row>
    <row r="17" spans="1:3" ht="14.1">
      <c r="A17" s="31"/>
      <c r="B17" s="525"/>
      <c r="C17" s="15"/>
    </row>
    <row r="18" spans="1:3" ht="22.5" customHeight="1">
      <c r="A18" s="250" t="s">
        <v>15</v>
      </c>
      <c r="B18" s="525"/>
      <c r="C18" s="15"/>
    </row>
    <row r="19" spans="1:3" ht="33.950000000000003" customHeight="1">
      <c r="A19" s="522" t="s">
        <v>16</v>
      </c>
      <c r="B19" s="524" t="s">
        <v>12</v>
      </c>
      <c r="C19" s="31"/>
    </row>
    <row r="20" spans="1:3" ht="14.1">
      <c r="A20" s="31"/>
      <c r="B20" s="525"/>
      <c r="C20" s="31"/>
    </row>
    <row r="21" spans="1:3" ht="22.5" customHeight="1">
      <c r="A21" s="250" t="s">
        <v>17</v>
      </c>
      <c r="B21" s="525"/>
      <c r="C21" s="31"/>
    </row>
    <row r="22" spans="1:3" ht="33.950000000000003" customHeight="1">
      <c r="A22" s="522" t="s">
        <v>18</v>
      </c>
      <c r="B22" s="524" t="s">
        <v>12</v>
      </c>
      <c r="C22" s="31"/>
    </row>
    <row r="23" spans="1:3" ht="14.1">
      <c r="A23" s="31"/>
    </row>
    <row r="24" spans="1:3" ht="14.1">
      <c r="A24" s="31"/>
    </row>
    <row r="25" spans="1:3" ht="14.1">
      <c r="A25" s="31"/>
    </row>
    <row r="26" spans="1:3" ht="14.1">
      <c r="A26" s="31"/>
    </row>
    <row r="27" spans="1:3" ht="14.1">
      <c r="A27" s="31"/>
    </row>
    <row r="28" spans="1:3" ht="14.1">
      <c r="A28" s="31"/>
    </row>
    <row r="29" spans="1:3" ht="14.1">
      <c r="A29" s="31"/>
    </row>
    <row r="30" spans="1:3" ht="14.1">
      <c r="A30" s="31"/>
    </row>
    <row r="31" spans="1:3" ht="14.1">
      <c r="A31" s="31"/>
    </row>
    <row r="32" spans="1:3" ht="14.1">
      <c r="A32" s="31"/>
    </row>
    <row r="33" spans="1:1" ht="14.1">
      <c r="A33" s="31"/>
    </row>
    <row r="34" spans="1:1" ht="14.1">
      <c r="A34" s="31"/>
    </row>
    <row r="35" spans="1:1" ht="14.1">
      <c r="A35" s="31"/>
    </row>
    <row r="36" spans="1:1" ht="14.1">
      <c r="A36" s="31"/>
    </row>
    <row r="37" spans="1:1" ht="14.1">
      <c r="A37" s="31"/>
    </row>
    <row r="38" spans="1:1" ht="14.1">
      <c r="A38" s="31"/>
    </row>
    <row r="39" spans="1:1" ht="14.1">
      <c r="A39" s="31"/>
    </row>
    <row r="40" spans="1:1" ht="14.1">
      <c r="A40" s="31"/>
    </row>
    <row r="41" spans="1:1" ht="14.1">
      <c r="A41" s="31"/>
    </row>
    <row r="42" spans="1:1" ht="14.1">
      <c r="A42" s="31"/>
    </row>
    <row r="43" spans="1:1" ht="14.1">
      <c r="A43" s="31"/>
    </row>
    <row r="44" spans="1:1" ht="14.1">
      <c r="A44" s="31"/>
    </row>
    <row r="45" spans="1:1" ht="14.1">
      <c r="A45" s="31"/>
    </row>
    <row r="46" spans="1:1" ht="14.1">
      <c r="A46" s="31"/>
    </row>
    <row r="47" spans="1:1" ht="14.1">
      <c r="A47" s="31"/>
    </row>
    <row r="48" spans="1:1" ht="14.1">
      <c r="A48" s="31"/>
    </row>
    <row r="49" spans="1:1" ht="14.1">
      <c r="A49" s="31"/>
    </row>
    <row r="50" spans="1:1" ht="14.1">
      <c r="A50" s="31"/>
    </row>
    <row r="51" spans="1:1" ht="14.1">
      <c r="A51" s="31"/>
    </row>
    <row r="52" spans="1:1" ht="14.1">
      <c r="A52" s="31"/>
    </row>
    <row r="53" spans="1:1" ht="14.1">
      <c r="A53" s="31"/>
    </row>
    <row r="54" spans="1:1" ht="14.1">
      <c r="A54" s="31"/>
    </row>
    <row r="55" spans="1:1" ht="14.1">
      <c r="A55" s="31"/>
    </row>
    <row r="56" spans="1:1" ht="14.1">
      <c r="A56" s="31"/>
    </row>
    <row r="57" spans="1:1" ht="14.1">
      <c r="A57" s="31"/>
    </row>
    <row r="58" spans="1:1" ht="14.1">
      <c r="A58" s="31"/>
    </row>
    <row r="59" spans="1:1" ht="14.1">
      <c r="A59" s="31"/>
    </row>
    <row r="60" spans="1:1" ht="14.1">
      <c r="A60" s="31"/>
    </row>
    <row r="61" spans="1:1" ht="14.1">
      <c r="A61" s="31"/>
    </row>
    <row r="62" spans="1:1" ht="14.1">
      <c r="A62" s="31"/>
    </row>
    <row r="63" spans="1:1" ht="14.1">
      <c r="A63" s="31"/>
    </row>
    <row r="64" spans="1:1" ht="14.1">
      <c r="A64" s="31"/>
    </row>
    <row r="65" spans="1:1" ht="14.1">
      <c r="A65" s="31"/>
    </row>
    <row r="66" spans="1:1" ht="14.1">
      <c r="A66" s="31"/>
    </row>
    <row r="67" spans="1:1" ht="14.1">
      <c r="A67" s="31"/>
    </row>
    <row r="68" spans="1:1" ht="14.1">
      <c r="A68" s="31"/>
    </row>
    <row r="69" spans="1:1" ht="14.1">
      <c r="A69" s="31"/>
    </row>
    <row r="70" spans="1:1" ht="14.1">
      <c r="A70" s="31"/>
    </row>
    <row r="71" spans="1:1" ht="14.1">
      <c r="A71" s="31"/>
    </row>
    <row r="72" spans="1:1" ht="14.1">
      <c r="A72" s="31"/>
    </row>
    <row r="73" spans="1:1" ht="14.1">
      <c r="A73" s="31"/>
    </row>
    <row r="74" spans="1:1" ht="14.1">
      <c r="A74" s="31"/>
    </row>
    <row r="75" spans="1:1" ht="14.1">
      <c r="A75" s="31"/>
    </row>
    <row r="76" spans="1:1" ht="14.1">
      <c r="A76" s="31"/>
    </row>
  </sheetData>
  <sheetProtection algorithmName="SHA-512" hashValue="MhJJnlDooD69VrTComVBrwOTKy4w/hg8ad0mKj87P88jU/APAIuV30EPYskI3hYehog1dUUpo8NDahWgT07RPg==" saltValue="yFW1aEnPEEOWe9BJ5sz5iw==" spinCount="100000" sheet="1" objects="1" scenarios="1"/>
  <mergeCells count="10">
    <mergeCell ref="A1:C1"/>
    <mergeCell ref="A3:B3"/>
    <mergeCell ref="A4:B4"/>
    <mergeCell ref="A5:B5"/>
    <mergeCell ref="A6:B6"/>
    <mergeCell ref="A7:B7"/>
    <mergeCell ref="A8:B8"/>
    <mergeCell ref="A9:B9"/>
    <mergeCell ref="A10:B10"/>
    <mergeCell ref="A11:B11"/>
  </mergeCells>
  <pageMargins left="0.59055118110236227" right="0.59055118110236227" top="0.74803149606299213" bottom="0.74803149606299213" header="0.31496062992125984" footer="0.31496062992125984"/>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6F443-0507-4914-A416-234B6422CCC6}">
  <sheetPr codeName="Sheet11">
    <tabColor theme="0" tint="-0.14999847407452621"/>
  </sheetPr>
  <dimension ref="A1:AH128"/>
  <sheetViews>
    <sheetView showGridLines="0" zoomScaleNormal="100" workbookViewId="0">
      <selection sqref="A1:B1"/>
    </sheetView>
  </sheetViews>
  <sheetFormatPr defaultColWidth="9.140625" defaultRowHeight="14.1"/>
  <cols>
    <col min="1" max="1" width="26.5703125" style="3" customWidth="1"/>
    <col min="2" max="2" width="183" style="3" customWidth="1"/>
    <col min="3" max="3" width="33.85546875" style="3" customWidth="1"/>
    <col min="4" max="6" width="16.5703125" style="3" customWidth="1"/>
    <col min="7" max="16384" width="9.140625" style="3"/>
  </cols>
  <sheetData>
    <row r="1" spans="1:34" ht="39.950000000000003" customHeight="1">
      <c r="A1" s="554" t="s">
        <v>19</v>
      </c>
      <c r="B1" s="554"/>
    </row>
    <row r="2" spans="1:34" customFormat="1" ht="8.1" customHeight="1">
      <c r="A2" s="61"/>
      <c r="B2" s="61"/>
      <c r="C2" s="61"/>
      <c r="D2" s="61"/>
      <c r="E2" s="61"/>
      <c r="F2" s="61"/>
      <c r="G2" s="61"/>
      <c r="H2" s="61"/>
      <c r="I2" s="62"/>
      <c r="P2" s="201"/>
      <c r="Q2" s="63"/>
      <c r="R2" s="205"/>
      <c r="Z2" s="60"/>
      <c r="AA2" s="60"/>
      <c r="AB2" s="60"/>
      <c r="AC2" s="60"/>
      <c r="AE2" s="63"/>
    </row>
    <row r="3" spans="1:34" ht="24" customHeight="1">
      <c r="A3" s="556" t="s">
        <v>20</v>
      </c>
      <c r="B3" s="556"/>
      <c r="C3" s="52"/>
      <c r="D3" s="52"/>
      <c r="E3" s="52"/>
      <c r="G3"/>
      <c r="H3"/>
      <c r="I3"/>
      <c r="J3"/>
      <c r="K3"/>
      <c r="L3"/>
      <c r="M3"/>
      <c r="N3"/>
      <c r="O3"/>
      <c r="P3"/>
      <c r="Q3"/>
      <c r="R3"/>
      <c r="S3"/>
      <c r="T3"/>
      <c r="U3"/>
      <c r="V3"/>
      <c r="W3"/>
      <c r="X3"/>
      <c r="Y3"/>
      <c r="Z3"/>
    </row>
    <row r="4" spans="1:34" s="91" customFormat="1" ht="8.1" customHeight="1">
      <c r="A4" s="46"/>
      <c r="B4" s="46"/>
      <c r="C4" s="46"/>
      <c r="D4" s="46"/>
      <c r="E4" s="46"/>
      <c r="F4" s="46"/>
      <c r="G4" s="46"/>
      <c r="H4" s="55"/>
      <c r="I4" s="55"/>
      <c r="J4" s="176"/>
      <c r="K4" s="176"/>
      <c r="L4" s="176"/>
      <c r="M4" s="176"/>
      <c r="N4" s="176"/>
      <c r="O4" s="176"/>
      <c r="P4" s="197"/>
      <c r="Q4" s="48"/>
      <c r="R4" s="557"/>
      <c r="S4" s="557"/>
      <c r="T4" s="557"/>
      <c r="U4" s="557"/>
      <c r="V4" s="177"/>
      <c r="W4" s="180"/>
      <c r="X4" s="176"/>
      <c r="Y4" s="176"/>
      <c r="Z4" s="178"/>
      <c r="AA4" s="178"/>
      <c r="AB4" s="178"/>
      <c r="AC4" s="179"/>
      <c r="AH4" s="46"/>
    </row>
    <row r="5" spans="1:34" ht="78" customHeight="1">
      <c r="A5" s="558" t="s">
        <v>21</v>
      </c>
      <c r="B5" s="559"/>
    </row>
    <row r="6" spans="1:34" customFormat="1" ht="18" customHeight="1">
      <c r="A6" s="61"/>
      <c r="B6" s="61"/>
      <c r="C6" s="61"/>
      <c r="D6" s="61"/>
      <c r="E6" s="61"/>
      <c r="F6" s="61"/>
      <c r="G6" s="61"/>
      <c r="H6" s="61"/>
      <c r="I6" s="62"/>
      <c r="P6" s="201"/>
      <c r="Q6" s="63"/>
      <c r="R6" s="205"/>
      <c r="Z6" s="60"/>
      <c r="AA6" s="60"/>
      <c r="AB6" s="60"/>
      <c r="AC6" s="60"/>
      <c r="AE6" s="63"/>
    </row>
    <row r="7" spans="1:34" ht="24" customHeight="1">
      <c r="A7" s="556" t="s">
        <v>22</v>
      </c>
      <c r="B7" s="556"/>
      <c r="C7" s="52"/>
      <c r="D7" s="52"/>
      <c r="E7" s="52"/>
      <c r="G7"/>
      <c r="H7"/>
      <c r="I7"/>
      <c r="J7"/>
      <c r="K7"/>
      <c r="L7"/>
      <c r="M7"/>
      <c r="N7"/>
      <c r="O7"/>
      <c r="P7"/>
      <c r="Q7"/>
      <c r="R7"/>
      <c r="S7"/>
      <c r="T7"/>
      <c r="U7"/>
      <c r="V7"/>
      <c r="W7"/>
      <c r="X7"/>
      <c r="Y7"/>
      <c r="Z7"/>
    </row>
    <row r="8" spans="1:34" ht="8.1" customHeight="1">
      <c r="A8" s="4"/>
      <c r="B8" s="4"/>
    </row>
    <row r="9" spans="1:34" ht="343.5">
      <c r="A9" s="94" t="s">
        <v>23</v>
      </c>
      <c r="B9" s="222" t="s">
        <v>24</v>
      </c>
    </row>
    <row r="10" spans="1:34" ht="8.1" customHeight="1">
      <c r="A10" s="4"/>
      <c r="B10" s="4"/>
    </row>
    <row r="11" spans="1:34" ht="291.75" customHeight="1">
      <c r="A11" s="94" t="s">
        <v>25</v>
      </c>
      <c r="B11" s="222" t="s">
        <v>26</v>
      </c>
    </row>
    <row r="12" spans="1:34" customFormat="1" ht="18" customHeight="1">
      <c r="A12" s="61"/>
      <c r="B12" s="61"/>
      <c r="C12" s="61"/>
      <c r="D12" s="61"/>
      <c r="E12" s="61"/>
      <c r="F12" s="61"/>
      <c r="G12" s="61"/>
      <c r="H12" s="61"/>
      <c r="I12" s="62"/>
      <c r="P12" s="201"/>
      <c r="Q12" s="63"/>
      <c r="R12" s="205"/>
      <c r="Z12" s="60"/>
      <c r="AA12" s="60"/>
      <c r="AB12" s="60"/>
      <c r="AC12" s="60"/>
      <c r="AE12" s="63"/>
    </row>
    <row r="13" spans="1:34" ht="24" customHeight="1">
      <c r="A13" s="556" t="s">
        <v>27</v>
      </c>
      <c r="B13" s="556"/>
      <c r="C13" s="52"/>
      <c r="D13" s="52"/>
      <c r="E13" s="52"/>
      <c r="G13"/>
      <c r="H13"/>
      <c r="I13"/>
      <c r="J13"/>
      <c r="K13"/>
      <c r="L13"/>
      <c r="M13"/>
      <c r="N13"/>
      <c r="O13"/>
      <c r="P13"/>
      <c r="Q13"/>
      <c r="R13"/>
      <c r="S13"/>
      <c r="T13"/>
      <c r="U13"/>
      <c r="V13"/>
      <c r="W13"/>
      <c r="X13"/>
      <c r="Y13"/>
      <c r="Z13"/>
    </row>
    <row r="14" spans="1:34" ht="8.1" customHeight="1">
      <c r="A14" s="4"/>
      <c r="B14" s="4"/>
    </row>
    <row r="15" spans="1:34" ht="181.5" customHeight="1">
      <c r="A15" s="94" t="s">
        <v>28</v>
      </c>
      <c r="B15" s="222" t="s">
        <v>29</v>
      </c>
    </row>
    <row r="16" spans="1:34" ht="8.1" customHeight="1">
      <c r="A16" s="4"/>
      <c r="B16" s="4"/>
    </row>
    <row r="17" spans="1:3" ht="232.5" customHeight="1">
      <c r="A17" s="94" t="s">
        <v>30</v>
      </c>
      <c r="B17" s="222" t="s">
        <v>31</v>
      </c>
      <c r="C17" s="382" t="s">
        <v>32</v>
      </c>
    </row>
    <row r="18" spans="1:3" ht="8.1" customHeight="1">
      <c r="A18" s="4"/>
      <c r="B18" s="4"/>
    </row>
    <row r="19" spans="1:3" ht="48" customHeight="1">
      <c r="A19" s="94" t="s">
        <v>33</v>
      </c>
      <c r="B19" s="222" t="s">
        <v>34</v>
      </c>
      <c r="C19" s="382" t="s">
        <v>32</v>
      </c>
    </row>
    <row r="20" spans="1:3" ht="8.1" customHeight="1">
      <c r="A20" s="555" t="s">
        <v>35</v>
      </c>
      <c r="B20" s="4"/>
    </row>
    <row r="21" spans="1:3" ht="32.1" customHeight="1">
      <c r="A21" s="555"/>
      <c r="B21" s="222" t="s">
        <v>36</v>
      </c>
      <c r="C21" s="382" t="s">
        <v>32</v>
      </c>
    </row>
    <row r="22" spans="1:3" ht="8.1" customHeight="1">
      <c r="A22" s="555"/>
      <c r="B22" s="4"/>
    </row>
    <row r="23" spans="1:3" ht="157.5" customHeight="1">
      <c r="A23" s="94" t="s">
        <v>37</v>
      </c>
      <c r="B23" s="222" t="s">
        <v>38</v>
      </c>
    </row>
    <row r="24" spans="1:3" ht="8.1" customHeight="1">
      <c r="A24" s="94"/>
      <c r="B24" s="4"/>
    </row>
    <row r="25" spans="1:3" ht="8.1" customHeight="1">
      <c r="A25" s="94"/>
      <c r="B25" s="4"/>
    </row>
    <row r="26" spans="1:3" ht="296.25" customHeight="1">
      <c r="A26" s="94" t="s">
        <v>39</v>
      </c>
      <c r="B26" s="222" t="s">
        <v>40</v>
      </c>
    </row>
    <row r="27" spans="1:3" ht="8.1" customHeight="1">
      <c r="A27" s="4"/>
      <c r="B27" s="4"/>
    </row>
    <row r="28" spans="1:3" ht="51.75" customHeight="1">
      <c r="A28" s="94" t="s">
        <v>41</v>
      </c>
      <c r="B28" s="222" t="s">
        <v>42</v>
      </c>
    </row>
    <row r="29" spans="1:3" ht="8.1" customHeight="1">
      <c r="A29" s="4"/>
      <c r="B29" s="4"/>
    </row>
    <row r="30" spans="1:3" ht="32.1" customHeight="1">
      <c r="A30" s="94" t="s">
        <v>43</v>
      </c>
      <c r="B30" s="222" t="s">
        <v>44</v>
      </c>
    </row>
    <row r="31" spans="1:3" ht="8.1" customHeight="1">
      <c r="A31" s="4"/>
      <c r="B31" s="4"/>
    </row>
    <row r="32" spans="1:3" ht="48" customHeight="1">
      <c r="A32" s="94" t="s">
        <v>45</v>
      </c>
      <c r="B32" s="222" t="s">
        <v>46</v>
      </c>
    </row>
    <row r="33" spans="1:12" ht="8.1" customHeight="1">
      <c r="A33" s="4"/>
      <c r="B33" s="4"/>
    </row>
    <row r="34" spans="1:12" ht="32.1" customHeight="1">
      <c r="A34" s="94" t="s">
        <v>47</v>
      </c>
      <c r="B34" s="222" t="s">
        <v>48</v>
      </c>
    </row>
    <row r="35" spans="1:12" customFormat="1" ht="15.95" customHeight="1"/>
    <row r="36" spans="1:12" customFormat="1" ht="20.25" customHeight="1"/>
    <row r="37" spans="1:12" customFormat="1" ht="33" customHeight="1"/>
    <row r="38" spans="1:12" customFormat="1" ht="88.5" customHeight="1"/>
    <row r="39" spans="1:12" customFormat="1" ht="75.75" customHeight="1"/>
    <row r="40" spans="1:12" customFormat="1" ht="15.95" customHeight="1"/>
    <row r="41" spans="1:12" customFormat="1" ht="15.95" customHeight="1"/>
    <row r="42" spans="1:12" s="84" customFormat="1" ht="15.95" customHeight="1">
      <c r="A42" s="3"/>
      <c r="B42" s="3"/>
      <c r="C42" s="3"/>
      <c r="D42" s="3"/>
      <c r="E42" s="3"/>
      <c r="F42" s="3"/>
      <c r="G42" s="3"/>
      <c r="H42" s="3"/>
      <c r="I42" s="3"/>
      <c r="J42" s="3"/>
      <c r="K42" s="3"/>
      <c r="L42" s="3"/>
    </row>
    <row r="43" spans="1:12" s="84" customFormat="1" ht="15.95" customHeight="1">
      <c r="A43" s="3"/>
      <c r="B43" s="3"/>
      <c r="C43" s="3"/>
      <c r="D43" s="3"/>
      <c r="E43" s="3"/>
      <c r="F43" s="3"/>
      <c r="G43" s="3"/>
      <c r="H43" s="3"/>
      <c r="I43" s="3"/>
      <c r="J43" s="3"/>
      <c r="K43" s="3"/>
      <c r="L43" s="3"/>
    </row>
    <row r="44" spans="1:12" s="84" customFormat="1" ht="15.95" customHeight="1">
      <c r="A44" s="3"/>
      <c r="B44" s="3"/>
      <c r="C44" s="3"/>
      <c r="D44" s="3"/>
      <c r="E44" s="3"/>
      <c r="F44" s="3"/>
      <c r="G44" s="3"/>
      <c r="H44" s="3"/>
      <c r="I44" s="3"/>
      <c r="J44" s="3"/>
      <c r="K44" s="3"/>
      <c r="L44" s="3"/>
    </row>
    <row r="45" spans="1:12" s="84" customFormat="1" ht="15.95" customHeight="1">
      <c r="A45" s="3"/>
      <c r="B45" s="3"/>
      <c r="C45" s="3"/>
      <c r="D45" s="3"/>
      <c r="E45" s="3"/>
      <c r="F45" s="3"/>
      <c r="G45" s="3"/>
      <c r="H45" s="3"/>
      <c r="I45" s="3"/>
      <c r="J45" s="3"/>
      <c r="K45" s="3"/>
      <c r="L45" s="3"/>
    </row>
    <row r="46" spans="1:12" s="84" customFormat="1" ht="15.95" customHeight="1">
      <c r="A46" s="3"/>
      <c r="B46" s="3"/>
      <c r="C46" s="3"/>
      <c r="D46" s="3"/>
      <c r="E46" s="3"/>
      <c r="F46" s="3"/>
      <c r="G46" s="3"/>
      <c r="H46" s="3"/>
      <c r="I46" s="3"/>
      <c r="J46" s="3"/>
      <c r="K46" s="3"/>
      <c r="L46" s="3"/>
    </row>
    <row r="47" spans="1:12" s="84" customFormat="1" ht="15.95" customHeight="1">
      <c r="A47" s="3"/>
      <c r="B47" s="3"/>
      <c r="C47" s="3"/>
      <c r="D47" s="3"/>
      <c r="E47" s="3"/>
      <c r="F47" s="3"/>
      <c r="G47" s="3"/>
      <c r="H47" s="3"/>
      <c r="I47" s="3"/>
      <c r="J47" s="3"/>
      <c r="K47" s="3"/>
      <c r="L47" s="3"/>
    </row>
    <row r="48" spans="1:12" s="84" customFormat="1" ht="15.95" customHeight="1">
      <c r="A48" s="3"/>
      <c r="B48" s="3"/>
      <c r="C48" s="3"/>
      <c r="D48" s="3"/>
      <c r="E48" s="3"/>
      <c r="F48" s="3"/>
      <c r="G48" s="3"/>
      <c r="H48" s="3"/>
      <c r="I48" s="3"/>
      <c r="J48" s="3"/>
      <c r="K48" s="3"/>
      <c r="L48" s="3"/>
    </row>
    <row r="49" spans="1:12" s="84" customFormat="1" ht="15.95" customHeight="1">
      <c r="A49" s="3"/>
      <c r="B49" s="3"/>
      <c r="C49" s="3"/>
      <c r="D49" s="3"/>
      <c r="E49" s="3"/>
      <c r="F49" s="3"/>
      <c r="G49" s="3"/>
      <c r="H49" s="3"/>
      <c r="I49" s="3"/>
      <c r="J49" s="3"/>
      <c r="K49" s="3"/>
      <c r="L49" s="3"/>
    </row>
    <row r="50" spans="1:12" s="84" customFormat="1" ht="15.95" customHeight="1">
      <c r="A50" s="3"/>
      <c r="B50" s="3"/>
      <c r="C50" s="3"/>
      <c r="D50" s="3"/>
      <c r="E50" s="3"/>
      <c r="F50" s="3"/>
      <c r="G50" s="3"/>
      <c r="H50" s="3"/>
      <c r="I50" s="3"/>
      <c r="J50" s="3"/>
      <c r="K50" s="3"/>
      <c r="L50" s="3"/>
    </row>
    <row r="51" spans="1:12" s="84" customFormat="1" ht="15.95" customHeight="1">
      <c r="A51" s="3"/>
      <c r="B51" s="3"/>
      <c r="C51" s="3"/>
      <c r="D51" s="3"/>
      <c r="E51" s="3"/>
      <c r="F51" s="3"/>
      <c r="G51" s="3"/>
      <c r="H51" s="3"/>
      <c r="I51" s="3"/>
      <c r="J51" s="3"/>
      <c r="K51" s="3"/>
      <c r="L51" s="3"/>
    </row>
    <row r="52" spans="1:12" s="84" customFormat="1" ht="15.95" customHeight="1">
      <c r="A52" s="3"/>
      <c r="B52" s="3"/>
      <c r="C52" s="3"/>
      <c r="D52" s="3"/>
      <c r="E52" s="3"/>
      <c r="F52" s="3"/>
      <c r="G52" s="3"/>
      <c r="H52" s="3"/>
      <c r="I52" s="3"/>
      <c r="J52" s="3"/>
      <c r="K52" s="3"/>
      <c r="L52" s="3"/>
    </row>
    <row r="53" spans="1:12" s="84" customFormat="1" ht="15.95" customHeight="1">
      <c r="A53" s="3"/>
      <c r="B53" s="3"/>
      <c r="C53" s="3"/>
      <c r="D53" s="3"/>
      <c r="E53" s="3"/>
      <c r="F53" s="3"/>
      <c r="G53" s="3"/>
      <c r="H53" s="3"/>
      <c r="I53" s="3"/>
      <c r="J53" s="3"/>
      <c r="K53" s="3"/>
      <c r="L53" s="3"/>
    </row>
    <row r="54" spans="1:12" s="84" customFormat="1" ht="15.95" customHeight="1">
      <c r="A54" s="3"/>
      <c r="B54" s="3"/>
      <c r="C54" s="3"/>
      <c r="D54" s="3"/>
      <c r="E54" s="3"/>
      <c r="F54" s="3"/>
      <c r="G54" s="3"/>
      <c r="H54" s="3"/>
      <c r="I54" s="3"/>
      <c r="J54" s="3"/>
      <c r="K54" s="3"/>
      <c r="L54" s="3"/>
    </row>
    <row r="55" spans="1:12" s="84" customFormat="1" ht="15.95" customHeight="1">
      <c r="A55" s="3"/>
      <c r="B55" s="3"/>
      <c r="C55" s="3"/>
      <c r="D55" s="3"/>
      <c r="E55" s="3"/>
      <c r="F55" s="3"/>
      <c r="G55" s="3"/>
      <c r="H55" s="3"/>
      <c r="I55" s="3"/>
      <c r="J55" s="3"/>
      <c r="K55" s="3"/>
      <c r="L55" s="3"/>
    </row>
    <row r="56" spans="1:12" s="84" customFormat="1" ht="15.95" customHeight="1">
      <c r="A56" s="3"/>
      <c r="B56" s="3"/>
      <c r="C56" s="3"/>
      <c r="D56" s="3"/>
      <c r="E56" s="3"/>
      <c r="F56" s="3"/>
      <c r="G56" s="3"/>
      <c r="H56" s="3"/>
      <c r="I56" s="3"/>
      <c r="J56" s="3"/>
      <c r="K56" s="3"/>
      <c r="L56" s="3"/>
    </row>
    <row r="57" spans="1:12" s="84" customFormat="1" ht="15.95" customHeight="1">
      <c r="A57" s="3"/>
      <c r="B57" s="3"/>
      <c r="C57" s="3"/>
      <c r="D57" s="3"/>
      <c r="E57" s="3"/>
      <c r="F57" s="3"/>
      <c r="G57" s="3"/>
      <c r="H57" s="3"/>
      <c r="I57" s="3"/>
      <c r="J57" s="3"/>
      <c r="K57" s="3"/>
      <c r="L57" s="3"/>
    </row>
    <row r="58" spans="1:12" s="84" customFormat="1" ht="15.95" customHeight="1">
      <c r="A58" s="3"/>
      <c r="B58" s="3"/>
      <c r="C58" s="3"/>
      <c r="D58" s="3"/>
      <c r="E58" s="3"/>
      <c r="F58" s="3"/>
      <c r="G58" s="3"/>
      <c r="H58" s="3"/>
      <c r="I58" s="3"/>
      <c r="J58" s="3"/>
      <c r="K58" s="3"/>
      <c r="L58" s="3"/>
    </row>
    <row r="59" spans="1:12" s="84" customFormat="1" ht="15.95" customHeight="1">
      <c r="A59" s="3"/>
      <c r="B59" s="3"/>
      <c r="C59" s="3"/>
      <c r="D59" s="3"/>
      <c r="E59" s="3"/>
      <c r="F59" s="3"/>
      <c r="G59" s="3"/>
      <c r="H59" s="3"/>
      <c r="I59" s="3"/>
      <c r="J59" s="3"/>
      <c r="K59" s="3"/>
      <c r="L59" s="3"/>
    </row>
    <row r="60" spans="1:12" s="84" customFormat="1" ht="15.95" customHeight="1">
      <c r="A60" s="3"/>
      <c r="B60" s="3"/>
      <c r="C60" s="3"/>
      <c r="D60" s="3"/>
      <c r="E60" s="3"/>
      <c r="F60" s="3"/>
      <c r="G60" s="3"/>
      <c r="H60" s="3"/>
      <c r="I60" s="3"/>
      <c r="J60" s="3"/>
      <c r="K60" s="3"/>
      <c r="L60" s="3"/>
    </row>
    <row r="61" spans="1:12" s="84" customFormat="1" ht="15.95" customHeight="1">
      <c r="A61" s="3"/>
      <c r="B61" s="3"/>
      <c r="C61" s="3"/>
      <c r="D61" s="3"/>
      <c r="E61" s="3"/>
      <c r="F61" s="3"/>
      <c r="G61" s="3"/>
      <c r="H61" s="3"/>
      <c r="I61" s="3"/>
      <c r="J61" s="3"/>
      <c r="K61" s="3"/>
      <c r="L61" s="3"/>
    </row>
    <row r="62" spans="1:12" s="84" customFormat="1" ht="15.95" customHeight="1">
      <c r="A62" s="3"/>
      <c r="B62" s="3"/>
      <c r="C62" s="3"/>
      <c r="D62" s="3"/>
      <c r="E62" s="3"/>
      <c r="F62" s="3"/>
      <c r="G62" s="3"/>
      <c r="H62" s="3"/>
      <c r="I62" s="3"/>
      <c r="J62" s="3"/>
      <c r="K62" s="3"/>
      <c r="L62" s="3"/>
    </row>
    <row r="63" spans="1:12" s="84" customFormat="1" ht="15.95" customHeight="1">
      <c r="A63" s="3"/>
      <c r="B63" s="3"/>
      <c r="C63" s="3"/>
      <c r="D63" s="3"/>
      <c r="E63" s="3"/>
      <c r="F63" s="3"/>
      <c r="G63" s="3"/>
      <c r="H63" s="3"/>
      <c r="I63" s="3"/>
      <c r="J63" s="3"/>
      <c r="K63" s="3"/>
      <c r="L63" s="3"/>
    </row>
    <row r="64" spans="1:12" s="84" customFormat="1" ht="15.95" customHeight="1">
      <c r="A64" s="3"/>
      <c r="B64" s="3"/>
      <c r="C64" s="3"/>
      <c r="D64" s="3"/>
      <c r="E64" s="3"/>
      <c r="F64" s="3"/>
      <c r="G64" s="3"/>
      <c r="H64" s="3"/>
      <c r="I64" s="3"/>
      <c r="J64" s="3"/>
      <c r="K64" s="3"/>
      <c r="L64" s="3"/>
    </row>
    <row r="65" spans="1:12" s="84" customFormat="1" ht="15.95" customHeight="1">
      <c r="A65" s="3"/>
      <c r="B65" s="3"/>
      <c r="C65" s="3"/>
      <c r="D65" s="3"/>
      <c r="E65" s="3"/>
      <c r="F65" s="3"/>
      <c r="G65" s="3"/>
      <c r="H65" s="3"/>
      <c r="I65" s="3"/>
      <c r="J65" s="3"/>
      <c r="K65" s="3"/>
      <c r="L65" s="3"/>
    </row>
    <row r="66" spans="1:12" s="84" customFormat="1" ht="15.95" customHeight="1">
      <c r="A66" s="3"/>
      <c r="B66" s="3"/>
      <c r="C66" s="3"/>
      <c r="D66" s="3"/>
      <c r="E66" s="3"/>
      <c r="F66" s="3"/>
      <c r="G66" s="3"/>
      <c r="H66" s="3"/>
      <c r="I66" s="3"/>
      <c r="J66" s="3"/>
      <c r="K66" s="3"/>
      <c r="L66" s="3"/>
    </row>
    <row r="67" spans="1:12" s="84" customFormat="1" ht="15.95" customHeight="1">
      <c r="A67" s="3"/>
      <c r="B67" s="3"/>
      <c r="C67" s="3"/>
      <c r="D67" s="3"/>
      <c r="E67" s="3"/>
      <c r="F67" s="3"/>
      <c r="G67" s="3"/>
      <c r="H67" s="3"/>
      <c r="I67" s="3"/>
      <c r="J67" s="3"/>
      <c r="K67" s="3"/>
      <c r="L67" s="3"/>
    </row>
    <row r="68" spans="1:12" s="84" customFormat="1" ht="15.95" customHeight="1">
      <c r="A68" s="3"/>
      <c r="B68" s="3"/>
      <c r="C68" s="3"/>
      <c r="D68" s="3"/>
      <c r="E68" s="3"/>
      <c r="F68" s="3"/>
      <c r="G68" s="3"/>
      <c r="H68" s="3"/>
      <c r="I68" s="3"/>
      <c r="J68" s="3"/>
      <c r="K68" s="3"/>
      <c r="L68" s="3"/>
    </row>
    <row r="69" spans="1:12" s="84" customFormat="1" ht="15.95" customHeight="1">
      <c r="A69" s="3"/>
      <c r="B69" s="3"/>
      <c r="C69" s="3"/>
      <c r="D69" s="3"/>
      <c r="E69" s="3"/>
      <c r="F69" s="3"/>
      <c r="G69" s="3"/>
      <c r="H69" s="3"/>
      <c r="I69" s="3"/>
      <c r="J69" s="3"/>
      <c r="K69" s="3"/>
      <c r="L69" s="3"/>
    </row>
    <row r="70" spans="1:12" s="84" customFormat="1" ht="15.95" customHeight="1">
      <c r="A70" s="3"/>
      <c r="B70" s="3"/>
      <c r="C70" s="3"/>
      <c r="D70" s="3"/>
      <c r="E70" s="3"/>
      <c r="F70" s="3"/>
      <c r="G70" s="3"/>
      <c r="H70" s="3"/>
      <c r="I70" s="3"/>
      <c r="J70" s="3"/>
      <c r="K70" s="3"/>
      <c r="L70" s="3"/>
    </row>
    <row r="71" spans="1:12" s="84" customFormat="1" ht="15.95" customHeight="1">
      <c r="A71" s="3"/>
      <c r="B71" s="3"/>
      <c r="C71" s="3"/>
      <c r="D71" s="3"/>
      <c r="E71" s="3"/>
      <c r="F71" s="3"/>
      <c r="G71" s="3"/>
      <c r="H71" s="3"/>
      <c r="I71" s="3"/>
      <c r="J71" s="3"/>
      <c r="K71" s="3"/>
      <c r="L71" s="3"/>
    </row>
    <row r="72" spans="1:12" s="84" customFormat="1" ht="15.95" customHeight="1">
      <c r="A72" s="3"/>
      <c r="B72" s="3"/>
      <c r="C72" s="3"/>
      <c r="D72" s="3"/>
      <c r="E72" s="3"/>
      <c r="F72" s="3"/>
      <c r="G72" s="3"/>
      <c r="H72" s="3"/>
      <c r="I72" s="3"/>
      <c r="J72" s="3"/>
      <c r="K72" s="3"/>
      <c r="L72" s="3"/>
    </row>
    <row r="73" spans="1:12" s="84" customFormat="1" ht="15.95" customHeight="1">
      <c r="A73" s="3"/>
      <c r="B73" s="3"/>
      <c r="C73" s="3"/>
      <c r="D73" s="3"/>
      <c r="E73" s="3"/>
      <c r="F73" s="3"/>
      <c r="G73" s="3"/>
      <c r="H73" s="3"/>
      <c r="I73" s="3"/>
      <c r="J73" s="3"/>
      <c r="K73" s="3"/>
      <c r="L73" s="3"/>
    </row>
    <row r="74" spans="1:12" s="84" customFormat="1" ht="15.95" customHeight="1">
      <c r="A74" s="3"/>
      <c r="B74" s="3"/>
      <c r="C74" s="3"/>
      <c r="D74" s="3"/>
      <c r="E74" s="3"/>
      <c r="F74" s="3"/>
      <c r="G74" s="3"/>
      <c r="H74" s="3"/>
      <c r="I74" s="3"/>
      <c r="J74" s="3"/>
      <c r="K74" s="3"/>
      <c r="L74" s="3"/>
    </row>
    <row r="75" spans="1:12" s="84" customFormat="1" ht="15.95" customHeight="1">
      <c r="A75" s="3"/>
      <c r="B75" s="3"/>
      <c r="C75" s="3"/>
      <c r="D75" s="3"/>
      <c r="E75" s="3"/>
      <c r="F75" s="3"/>
      <c r="G75" s="3"/>
      <c r="H75" s="3"/>
      <c r="I75" s="3"/>
      <c r="J75" s="3"/>
      <c r="K75" s="3"/>
      <c r="L75" s="3"/>
    </row>
    <row r="76" spans="1:12" s="84" customFormat="1" ht="15.95" customHeight="1">
      <c r="A76" s="3"/>
      <c r="B76" s="3"/>
      <c r="C76" s="3"/>
      <c r="D76" s="3"/>
      <c r="E76" s="3"/>
      <c r="F76" s="3"/>
      <c r="G76" s="3"/>
      <c r="H76" s="3"/>
      <c r="I76" s="3"/>
      <c r="J76" s="3"/>
      <c r="K76" s="3"/>
      <c r="L76" s="3"/>
    </row>
    <row r="77" spans="1:12" s="84" customFormat="1" ht="15.95" customHeight="1">
      <c r="A77" s="3"/>
      <c r="B77" s="3"/>
      <c r="C77" s="3"/>
      <c r="D77" s="3"/>
      <c r="E77" s="3"/>
      <c r="F77" s="3"/>
      <c r="G77" s="3"/>
      <c r="H77" s="3"/>
      <c r="I77" s="3"/>
      <c r="J77" s="3"/>
      <c r="K77" s="3"/>
      <c r="L77" s="3"/>
    </row>
    <row r="78" spans="1:12" s="84" customFormat="1" ht="15.95" customHeight="1">
      <c r="A78" s="3"/>
      <c r="B78" s="3"/>
      <c r="C78" s="3"/>
      <c r="D78" s="3"/>
      <c r="E78" s="3"/>
      <c r="F78" s="3"/>
      <c r="G78" s="3"/>
      <c r="H78" s="3"/>
      <c r="I78" s="3"/>
      <c r="J78" s="3"/>
      <c r="K78" s="3"/>
      <c r="L78" s="3"/>
    </row>
    <row r="79" spans="1:12" s="84" customFormat="1" ht="15.95" customHeight="1">
      <c r="A79" s="3"/>
      <c r="B79" s="3"/>
      <c r="C79" s="3"/>
      <c r="D79" s="3"/>
      <c r="E79" s="3"/>
      <c r="F79" s="3"/>
      <c r="G79" s="3"/>
      <c r="H79" s="3"/>
      <c r="I79" s="3"/>
      <c r="J79" s="3"/>
      <c r="K79" s="3"/>
      <c r="L79" s="3"/>
    </row>
    <row r="80" spans="1:12" s="84" customFormat="1" ht="15.95" customHeight="1">
      <c r="A80" s="3"/>
      <c r="B80" s="3"/>
      <c r="C80" s="3"/>
      <c r="D80" s="3"/>
      <c r="E80" s="3"/>
      <c r="F80" s="3"/>
      <c r="G80" s="3"/>
      <c r="H80" s="3"/>
      <c r="I80" s="3"/>
      <c r="J80" s="3"/>
      <c r="K80" s="3"/>
      <c r="L80" s="3"/>
    </row>
    <row r="81" spans="1:12" s="84" customFormat="1" ht="15.95" customHeight="1">
      <c r="A81" s="3"/>
      <c r="B81" s="3"/>
      <c r="C81" s="3"/>
      <c r="D81" s="3"/>
      <c r="E81" s="3"/>
      <c r="F81" s="3"/>
      <c r="G81" s="3"/>
      <c r="H81" s="3"/>
      <c r="I81" s="3"/>
      <c r="J81" s="3"/>
      <c r="K81" s="3"/>
      <c r="L81" s="3"/>
    </row>
    <row r="82" spans="1:12" s="84" customFormat="1" ht="15.95" customHeight="1">
      <c r="A82" s="3"/>
      <c r="B82" s="3"/>
      <c r="C82" s="3"/>
      <c r="D82" s="3"/>
      <c r="E82" s="3"/>
      <c r="F82" s="3"/>
      <c r="G82" s="3"/>
      <c r="H82" s="3"/>
      <c r="I82" s="3"/>
      <c r="J82" s="3"/>
      <c r="K82" s="3"/>
      <c r="L82" s="3"/>
    </row>
    <row r="83" spans="1:12" s="84" customFormat="1" ht="15.95" customHeight="1">
      <c r="A83" s="3"/>
      <c r="B83" s="3"/>
      <c r="C83" s="3"/>
      <c r="D83" s="3"/>
      <c r="E83" s="3"/>
      <c r="F83" s="3"/>
      <c r="G83" s="3"/>
      <c r="H83" s="3"/>
      <c r="I83" s="3"/>
      <c r="J83" s="3"/>
      <c r="K83" s="3"/>
      <c r="L83" s="3"/>
    </row>
    <row r="84" spans="1:12" s="84" customFormat="1" ht="15.95" customHeight="1">
      <c r="A84" s="3"/>
      <c r="B84" s="3"/>
      <c r="C84" s="3"/>
      <c r="D84" s="3"/>
      <c r="E84" s="3"/>
      <c r="F84" s="3"/>
      <c r="G84" s="3"/>
      <c r="H84" s="3"/>
      <c r="I84" s="3"/>
      <c r="J84" s="3"/>
      <c r="K84" s="3"/>
      <c r="L84" s="3"/>
    </row>
    <row r="85" spans="1:12" s="84" customFormat="1" ht="15.95" customHeight="1">
      <c r="A85" s="3"/>
      <c r="B85" s="3"/>
      <c r="C85" s="3"/>
      <c r="D85" s="3"/>
      <c r="E85" s="3"/>
      <c r="F85" s="3"/>
      <c r="G85" s="3"/>
      <c r="H85" s="3"/>
      <c r="I85" s="3"/>
      <c r="J85" s="3"/>
      <c r="K85" s="3"/>
      <c r="L85" s="3"/>
    </row>
    <row r="86" spans="1:12" s="84" customFormat="1" ht="15.95" customHeight="1">
      <c r="A86" s="3"/>
      <c r="B86" s="3"/>
      <c r="C86" s="3"/>
      <c r="D86" s="3"/>
      <c r="E86" s="3"/>
      <c r="F86" s="3"/>
      <c r="G86" s="3"/>
      <c r="H86" s="3"/>
      <c r="I86" s="3"/>
      <c r="J86" s="3"/>
      <c r="K86" s="3"/>
      <c r="L86" s="3"/>
    </row>
    <row r="87" spans="1:12" s="84" customFormat="1" ht="15.95" customHeight="1">
      <c r="A87" s="3"/>
      <c r="B87" s="3"/>
      <c r="C87" s="3"/>
      <c r="D87" s="3"/>
      <c r="E87" s="3"/>
      <c r="F87" s="3"/>
      <c r="G87" s="3"/>
      <c r="H87" s="3"/>
      <c r="I87" s="3"/>
      <c r="J87" s="3"/>
      <c r="K87" s="3"/>
      <c r="L87" s="3"/>
    </row>
    <row r="88" spans="1:12" s="84" customFormat="1" ht="15.95" customHeight="1">
      <c r="A88" s="3"/>
      <c r="B88" s="3"/>
      <c r="C88" s="3"/>
      <c r="D88" s="3"/>
      <c r="E88" s="3"/>
      <c r="F88" s="3"/>
      <c r="G88" s="3"/>
      <c r="H88" s="3"/>
      <c r="I88" s="3"/>
      <c r="J88" s="3"/>
      <c r="K88" s="3"/>
      <c r="L88" s="3"/>
    </row>
    <row r="89" spans="1:12" s="84" customFormat="1" ht="15.95" customHeight="1">
      <c r="A89" s="3"/>
      <c r="B89" s="3"/>
      <c r="C89" s="3"/>
      <c r="D89" s="3"/>
      <c r="E89" s="3"/>
      <c r="F89" s="3"/>
      <c r="G89" s="3"/>
      <c r="H89" s="3"/>
      <c r="I89" s="3"/>
      <c r="J89" s="3"/>
      <c r="K89" s="3"/>
      <c r="L89" s="3"/>
    </row>
    <row r="90" spans="1:12" s="84" customFormat="1" ht="15.95" customHeight="1">
      <c r="A90" s="3"/>
      <c r="B90" s="3"/>
      <c r="C90" s="3"/>
      <c r="D90" s="3"/>
      <c r="E90" s="3"/>
      <c r="F90" s="3"/>
      <c r="G90" s="3"/>
      <c r="H90" s="3"/>
      <c r="I90" s="3"/>
      <c r="J90" s="3"/>
      <c r="K90" s="3"/>
      <c r="L90" s="3"/>
    </row>
    <row r="91" spans="1:12" s="84" customFormat="1" ht="15.95" customHeight="1">
      <c r="A91" s="3"/>
      <c r="B91" s="3"/>
      <c r="C91" s="3"/>
      <c r="D91" s="3"/>
      <c r="E91" s="3"/>
      <c r="F91" s="3"/>
      <c r="G91" s="3"/>
      <c r="H91" s="3"/>
      <c r="I91" s="3"/>
      <c r="J91" s="3"/>
      <c r="K91" s="3"/>
      <c r="L91" s="3"/>
    </row>
    <row r="92" spans="1:12" s="84" customFormat="1" ht="15.95" customHeight="1">
      <c r="A92" s="3"/>
      <c r="B92" s="3"/>
      <c r="C92" s="3"/>
      <c r="D92" s="3"/>
      <c r="E92" s="3"/>
      <c r="F92" s="3"/>
      <c r="G92" s="3"/>
      <c r="H92" s="3"/>
      <c r="I92" s="3"/>
      <c r="J92" s="3"/>
      <c r="K92" s="3"/>
      <c r="L92" s="3"/>
    </row>
    <row r="93" spans="1:12" s="84" customFormat="1" ht="15.95" customHeight="1">
      <c r="A93" s="3"/>
      <c r="B93" s="3"/>
      <c r="C93" s="3"/>
      <c r="D93" s="3"/>
      <c r="E93" s="3"/>
      <c r="F93" s="3"/>
      <c r="G93" s="3"/>
      <c r="H93" s="3"/>
      <c r="I93" s="3"/>
      <c r="J93" s="3"/>
      <c r="K93" s="3"/>
      <c r="L93" s="3"/>
    </row>
    <row r="94" spans="1:12" s="84" customFormat="1" ht="15.95" customHeight="1">
      <c r="A94" s="3"/>
      <c r="B94" s="3"/>
      <c r="C94" s="3"/>
      <c r="D94" s="3"/>
      <c r="E94" s="3"/>
      <c r="F94" s="3"/>
      <c r="G94" s="3"/>
      <c r="H94" s="3"/>
      <c r="I94" s="3"/>
      <c r="J94" s="3"/>
      <c r="K94" s="3"/>
      <c r="L94" s="3"/>
    </row>
    <row r="95" spans="1:12" s="84" customFormat="1" ht="15.95" customHeight="1">
      <c r="A95" s="3"/>
      <c r="B95" s="3"/>
      <c r="C95" s="3"/>
      <c r="D95" s="3"/>
      <c r="E95" s="3"/>
      <c r="F95" s="3"/>
      <c r="G95" s="3"/>
      <c r="H95" s="3"/>
      <c r="I95" s="3"/>
      <c r="J95" s="3"/>
      <c r="K95" s="3"/>
      <c r="L95" s="3"/>
    </row>
    <row r="96" spans="1:12" s="84" customFormat="1" ht="15.95" customHeight="1">
      <c r="A96" s="3"/>
      <c r="B96" s="3"/>
      <c r="C96" s="3"/>
      <c r="D96" s="3"/>
      <c r="E96" s="3"/>
      <c r="F96" s="3"/>
      <c r="G96" s="3"/>
      <c r="H96" s="3"/>
      <c r="I96" s="3"/>
      <c r="J96" s="3"/>
      <c r="K96" s="3"/>
      <c r="L96" s="3"/>
    </row>
    <row r="97" spans="1:12" s="84" customFormat="1" ht="15.95" customHeight="1">
      <c r="A97" s="3"/>
      <c r="B97" s="3"/>
      <c r="C97" s="3"/>
      <c r="D97" s="3"/>
      <c r="E97" s="3"/>
      <c r="F97" s="3"/>
      <c r="G97" s="3"/>
      <c r="H97" s="3"/>
      <c r="I97" s="3"/>
      <c r="J97" s="3"/>
      <c r="K97" s="3"/>
      <c r="L97" s="3"/>
    </row>
    <row r="98" spans="1:12" s="84" customFormat="1" ht="15.95" customHeight="1">
      <c r="A98" s="3"/>
      <c r="B98" s="3"/>
      <c r="C98" s="3"/>
      <c r="D98" s="3"/>
      <c r="E98" s="3"/>
      <c r="F98" s="3"/>
      <c r="G98" s="3"/>
      <c r="H98" s="3"/>
      <c r="I98" s="3"/>
      <c r="J98" s="3"/>
      <c r="K98" s="3"/>
      <c r="L98" s="3"/>
    </row>
    <row r="99" spans="1:12" s="84" customFormat="1" ht="15.95" customHeight="1">
      <c r="A99" s="3"/>
      <c r="B99" s="3"/>
      <c r="C99" s="3"/>
      <c r="D99" s="3"/>
      <c r="E99" s="3"/>
      <c r="F99" s="3"/>
      <c r="G99" s="3"/>
      <c r="H99" s="3"/>
      <c r="I99" s="3"/>
      <c r="J99" s="3"/>
      <c r="K99" s="3"/>
      <c r="L99" s="3"/>
    </row>
    <row r="100" spans="1:12" s="84" customFormat="1" ht="15.95" customHeight="1">
      <c r="A100" s="3"/>
      <c r="B100" s="3"/>
      <c r="C100" s="3"/>
      <c r="D100" s="3"/>
      <c r="E100" s="3"/>
      <c r="F100" s="3"/>
      <c r="G100" s="3"/>
      <c r="H100" s="3"/>
      <c r="I100" s="3"/>
      <c r="J100" s="3"/>
      <c r="K100" s="3"/>
      <c r="L100" s="3"/>
    </row>
    <row r="101" spans="1:12" s="84" customFormat="1" ht="15.95" customHeight="1">
      <c r="A101" s="3"/>
      <c r="B101" s="3"/>
      <c r="C101" s="3"/>
      <c r="D101" s="3"/>
      <c r="E101" s="3"/>
      <c r="F101" s="3"/>
      <c r="G101" s="3"/>
      <c r="H101" s="3"/>
      <c r="I101" s="3"/>
      <c r="J101" s="3"/>
      <c r="K101" s="3"/>
      <c r="L101" s="3"/>
    </row>
    <row r="102" spans="1:12" s="84" customFormat="1" ht="15.95" customHeight="1">
      <c r="A102" s="3"/>
      <c r="B102" s="3"/>
      <c r="C102" s="3"/>
      <c r="D102" s="3"/>
      <c r="E102" s="3"/>
      <c r="F102" s="3"/>
      <c r="G102" s="3"/>
      <c r="H102" s="3"/>
      <c r="I102" s="3"/>
      <c r="J102" s="3"/>
      <c r="K102" s="3"/>
      <c r="L102" s="3"/>
    </row>
    <row r="103" spans="1:12" s="84" customFormat="1" ht="15.95" customHeight="1">
      <c r="A103" s="3"/>
      <c r="B103" s="3"/>
      <c r="C103" s="3"/>
      <c r="D103" s="3"/>
      <c r="E103" s="3"/>
      <c r="F103" s="3"/>
      <c r="G103" s="3"/>
      <c r="H103" s="3"/>
      <c r="I103" s="3"/>
      <c r="J103" s="3"/>
      <c r="K103" s="3"/>
      <c r="L103" s="3"/>
    </row>
    <row r="104" spans="1:12" s="84" customFormat="1" ht="15.95" customHeight="1">
      <c r="A104" s="3"/>
      <c r="B104" s="3"/>
      <c r="C104" s="3"/>
      <c r="D104" s="3"/>
      <c r="E104" s="3"/>
      <c r="F104" s="3"/>
      <c r="G104" s="3"/>
      <c r="H104" s="3"/>
      <c r="I104" s="3"/>
      <c r="J104" s="3"/>
      <c r="K104" s="3"/>
      <c r="L104" s="3"/>
    </row>
    <row r="105" spans="1:12" s="84" customFormat="1" ht="15.95" customHeight="1">
      <c r="A105" s="3"/>
      <c r="B105" s="3"/>
      <c r="C105" s="3"/>
      <c r="D105" s="3"/>
      <c r="E105" s="3"/>
      <c r="F105" s="3"/>
      <c r="G105" s="3"/>
      <c r="H105" s="3"/>
      <c r="I105" s="3"/>
      <c r="J105" s="3"/>
      <c r="K105" s="3"/>
      <c r="L105" s="3"/>
    </row>
    <row r="106" spans="1:12" s="84" customFormat="1" ht="15.95" customHeight="1">
      <c r="A106" s="3"/>
      <c r="B106" s="3"/>
      <c r="C106" s="3"/>
      <c r="D106" s="3"/>
      <c r="E106" s="3"/>
      <c r="F106" s="3"/>
      <c r="G106" s="3"/>
      <c r="H106" s="3"/>
      <c r="I106" s="3"/>
      <c r="J106" s="3"/>
      <c r="K106" s="3"/>
      <c r="L106" s="3"/>
    </row>
    <row r="107" spans="1:12" s="84" customFormat="1" ht="15.95" customHeight="1">
      <c r="A107" s="3"/>
      <c r="B107" s="3"/>
      <c r="C107" s="3"/>
      <c r="D107" s="3"/>
      <c r="E107" s="3"/>
      <c r="F107" s="3"/>
      <c r="G107" s="3"/>
      <c r="H107" s="3"/>
      <c r="I107" s="3"/>
      <c r="J107" s="3"/>
      <c r="K107" s="3"/>
      <c r="L107" s="3"/>
    </row>
    <row r="108" spans="1:12" s="84" customFormat="1" ht="15.95" customHeight="1">
      <c r="A108" s="3"/>
      <c r="B108" s="3"/>
      <c r="C108" s="3"/>
      <c r="D108" s="3"/>
      <c r="E108" s="3"/>
      <c r="F108" s="3"/>
      <c r="G108" s="3"/>
      <c r="H108" s="3"/>
      <c r="I108" s="3"/>
      <c r="J108" s="3"/>
      <c r="K108" s="3"/>
      <c r="L108" s="3"/>
    </row>
    <row r="109" spans="1:12" s="84" customFormat="1" ht="15.95" customHeight="1">
      <c r="A109" s="3"/>
      <c r="B109" s="3"/>
      <c r="C109" s="3"/>
      <c r="D109" s="3"/>
      <c r="E109" s="3"/>
      <c r="F109" s="3"/>
      <c r="G109" s="3"/>
      <c r="H109" s="3"/>
      <c r="I109" s="3"/>
      <c r="J109" s="3"/>
      <c r="K109" s="3"/>
      <c r="L109" s="3"/>
    </row>
    <row r="110" spans="1:12" s="84" customFormat="1" ht="15.95" customHeight="1">
      <c r="A110" s="3"/>
      <c r="B110" s="3"/>
      <c r="C110" s="3"/>
      <c r="D110" s="3"/>
      <c r="E110" s="3"/>
      <c r="F110" s="3"/>
      <c r="G110" s="3"/>
      <c r="H110" s="3"/>
      <c r="I110" s="3"/>
      <c r="J110" s="3"/>
      <c r="K110" s="3"/>
      <c r="L110" s="3"/>
    </row>
    <row r="111" spans="1:12" s="84" customFormat="1" ht="15.95" customHeight="1">
      <c r="A111" s="3"/>
      <c r="B111" s="3"/>
      <c r="C111" s="3"/>
      <c r="D111" s="3"/>
      <c r="E111" s="3"/>
      <c r="F111" s="3"/>
      <c r="G111" s="3"/>
      <c r="H111" s="3"/>
      <c r="I111" s="3"/>
      <c r="J111" s="3"/>
      <c r="K111" s="3"/>
      <c r="L111" s="3"/>
    </row>
    <row r="112" spans="1:12" s="84" customFormat="1" ht="15.95" customHeight="1">
      <c r="A112" s="3"/>
      <c r="B112" s="3"/>
      <c r="C112" s="3"/>
      <c r="D112" s="3"/>
      <c r="E112" s="3"/>
      <c r="F112" s="3"/>
      <c r="G112" s="3"/>
      <c r="H112" s="3"/>
      <c r="I112" s="3"/>
      <c r="J112" s="3"/>
      <c r="K112" s="3"/>
      <c r="L112" s="3"/>
    </row>
    <row r="113" spans="1:12" s="84" customFormat="1" ht="15.95" customHeight="1">
      <c r="A113" s="3"/>
      <c r="B113" s="3"/>
      <c r="C113" s="3"/>
      <c r="D113" s="3"/>
      <c r="E113" s="3"/>
      <c r="F113" s="3"/>
      <c r="G113" s="3"/>
      <c r="H113" s="3"/>
      <c r="I113" s="3"/>
      <c r="J113" s="3"/>
      <c r="K113" s="3"/>
      <c r="L113" s="3"/>
    </row>
    <row r="114" spans="1:12" s="84" customFormat="1" ht="15.95" customHeight="1">
      <c r="A114" s="3"/>
      <c r="B114" s="3"/>
      <c r="C114" s="3"/>
      <c r="D114" s="3"/>
      <c r="E114" s="3"/>
      <c r="F114" s="3"/>
      <c r="G114" s="3"/>
      <c r="H114" s="3"/>
      <c r="I114" s="3"/>
      <c r="J114" s="3"/>
      <c r="K114" s="3"/>
      <c r="L114" s="3"/>
    </row>
    <row r="115" spans="1:12" s="84" customFormat="1" ht="15.95" customHeight="1">
      <c r="A115" s="3"/>
      <c r="B115" s="3"/>
      <c r="C115" s="3"/>
      <c r="D115" s="3"/>
      <c r="E115" s="3"/>
      <c r="F115" s="3"/>
      <c r="G115" s="3"/>
      <c r="H115" s="3"/>
      <c r="I115" s="3"/>
      <c r="J115" s="3"/>
      <c r="K115" s="3"/>
      <c r="L115" s="3"/>
    </row>
    <row r="116" spans="1:12" s="84" customFormat="1" ht="15.95" customHeight="1">
      <c r="A116" s="3"/>
      <c r="B116" s="3"/>
      <c r="C116" s="3"/>
      <c r="D116" s="3"/>
      <c r="E116" s="3"/>
      <c r="F116" s="3"/>
      <c r="G116" s="3"/>
      <c r="H116" s="3"/>
      <c r="I116" s="3"/>
      <c r="J116" s="3"/>
      <c r="K116" s="3"/>
      <c r="L116" s="3"/>
    </row>
    <row r="117" spans="1:12" s="84" customFormat="1" ht="15.95" customHeight="1">
      <c r="A117" s="3"/>
      <c r="B117" s="3"/>
      <c r="C117" s="3"/>
      <c r="D117" s="3"/>
      <c r="E117" s="3"/>
      <c r="F117" s="3"/>
      <c r="G117" s="3"/>
      <c r="H117" s="3"/>
      <c r="I117" s="3"/>
      <c r="J117" s="3"/>
      <c r="K117" s="3"/>
      <c r="L117" s="3"/>
    </row>
    <row r="118" spans="1:12" s="84" customFormat="1" ht="15.95" customHeight="1">
      <c r="A118" s="3"/>
      <c r="B118" s="3"/>
      <c r="C118" s="3"/>
      <c r="D118" s="3"/>
      <c r="E118" s="3"/>
      <c r="F118" s="3"/>
      <c r="G118" s="3"/>
      <c r="H118" s="3"/>
      <c r="I118" s="3"/>
      <c r="J118" s="3"/>
      <c r="K118" s="3"/>
      <c r="L118" s="3"/>
    </row>
    <row r="119" spans="1:12" s="84" customFormat="1" ht="15.95" customHeight="1">
      <c r="A119" s="3"/>
      <c r="B119" s="3"/>
      <c r="C119" s="3"/>
      <c r="D119" s="3"/>
      <c r="E119" s="3"/>
      <c r="F119" s="3"/>
      <c r="G119" s="3"/>
      <c r="H119" s="3"/>
      <c r="I119" s="3"/>
      <c r="J119" s="3"/>
      <c r="K119" s="3"/>
      <c r="L119" s="3"/>
    </row>
    <row r="120" spans="1:12" s="84" customFormat="1" ht="15.95" customHeight="1">
      <c r="A120" s="3"/>
      <c r="B120" s="3"/>
      <c r="C120" s="3"/>
      <c r="D120" s="3"/>
      <c r="E120" s="3"/>
      <c r="F120" s="3"/>
      <c r="G120" s="3"/>
      <c r="H120" s="3"/>
      <c r="I120" s="3"/>
      <c r="J120" s="3"/>
      <c r="K120" s="3"/>
      <c r="L120" s="3"/>
    </row>
    <row r="121" spans="1:12" s="84" customFormat="1" ht="15.95" customHeight="1">
      <c r="A121" s="3"/>
      <c r="B121" s="3"/>
      <c r="C121" s="3"/>
      <c r="D121" s="3"/>
      <c r="E121" s="3"/>
      <c r="F121" s="3"/>
      <c r="G121" s="3"/>
      <c r="H121" s="3"/>
      <c r="I121" s="3"/>
      <c r="J121" s="3"/>
      <c r="K121" s="3"/>
      <c r="L121" s="3"/>
    </row>
    <row r="122" spans="1:12" s="84" customFormat="1" ht="15.95" customHeight="1">
      <c r="A122" s="3"/>
      <c r="B122" s="3"/>
      <c r="C122" s="3"/>
      <c r="D122" s="3"/>
      <c r="E122" s="3"/>
      <c r="F122" s="3"/>
      <c r="G122" s="3"/>
      <c r="H122" s="3"/>
      <c r="I122" s="3"/>
      <c r="J122" s="3"/>
      <c r="K122" s="3"/>
      <c r="L122" s="3"/>
    </row>
    <row r="123" spans="1:12" s="84" customFormat="1" ht="15.95" customHeight="1">
      <c r="A123" s="3"/>
      <c r="B123" s="3"/>
      <c r="C123" s="3"/>
      <c r="D123" s="3"/>
      <c r="E123" s="3"/>
      <c r="F123" s="3"/>
      <c r="G123" s="3"/>
      <c r="H123" s="3"/>
      <c r="I123" s="3"/>
      <c r="J123" s="3"/>
      <c r="K123" s="3"/>
      <c r="L123" s="3"/>
    </row>
    <row r="124" spans="1:12" s="84" customFormat="1" ht="15.95" customHeight="1">
      <c r="A124" s="3"/>
      <c r="B124" s="3"/>
      <c r="C124" s="3"/>
      <c r="D124" s="3"/>
      <c r="E124" s="3"/>
      <c r="F124" s="3"/>
      <c r="G124" s="3"/>
      <c r="H124" s="3"/>
      <c r="I124" s="3"/>
      <c r="J124" s="3"/>
      <c r="K124" s="3"/>
      <c r="L124" s="3"/>
    </row>
    <row r="125" spans="1:12" s="84" customFormat="1" ht="15.95" customHeight="1">
      <c r="A125" s="3"/>
      <c r="B125" s="3"/>
      <c r="C125" s="3"/>
      <c r="D125" s="3"/>
      <c r="E125" s="3"/>
      <c r="F125" s="3"/>
      <c r="G125" s="3"/>
      <c r="H125" s="3"/>
      <c r="I125" s="3"/>
      <c r="J125" s="3"/>
      <c r="K125" s="3"/>
      <c r="L125" s="3"/>
    </row>
    <row r="126" spans="1:12" s="84" customFormat="1" ht="15.95" customHeight="1">
      <c r="A126" s="3"/>
      <c r="B126" s="3"/>
      <c r="C126" s="3"/>
      <c r="D126" s="3"/>
      <c r="E126" s="3"/>
      <c r="F126" s="3"/>
      <c r="G126" s="3"/>
      <c r="H126" s="3"/>
      <c r="I126" s="3"/>
      <c r="J126" s="3"/>
      <c r="K126" s="3"/>
      <c r="L126" s="3"/>
    </row>
    <row r="127" spans="1:12" s="84" customFormat="1" ht="15.95" customHeight="1">
      <c r="A127" s="3"/>
      <c r="B127" s="3"/>
      <c r="C127" s="3"/>
      <c r="D127" s="3"/>
      <c r="E127" s="3"/>
      <c r="F127" s="3"/>
      <c r="G127" s="3"/>
      <c r="H127" s="3"/>
      <c r="I127" s="3"/>
      <c r="J127" s="3"/>
      <c r="K127" s="3"/>
      <c r="L127" s="3"/>
    </row>
    <row r="128" spans="1:12" s="84" customFormat="1" ht="15.95" customHeight="1">
      <c r="A128" s="3"/>
      <c r="B128" s="3"/>
      <c r="C128" s="3"/>
      <c r="D128" s="3"/>
      <c r="E128" s="3"/>
      <c r="F128" s="3"/>
      <c r="G128" s="3"/>
      <c r="H128" s="3"/>
      <c r="I128" s="3"/>
      <c r="J128" s="3"/>
      <c r="K128" s="3"/>
      <c r="L128" s="3"/>
    </row>
  </sheetData>
  <sheetProtection algorithmName="SHA-512" hashValue="xJg4jrd2222IW3zVqg2km8lfOPAdyyQBbliYTBiV64zzc1I7CJGwiriCiNE6XBP0n6k/D1N3k2/+Le1PUVDQrw==" saltValue="Ybc3LYHjVZa6OurjN087Gg==" spinCount="100000" sheet="1" objects="1" scenarios="1"/>
  <mergeCells count="8">
    <mergeCell ref="A20:A22"/>
    <mergeCell ref="A1:B1"/>
    <mergeCell ref="A3:B3"/>
    <mergeCell ref="R4:S4"/>
    <mergeCell ref="T4:U4"/>
    <mergeCell ref="A13:B13"/>
    <mergeCell ref="A5:B5"/>
    <mergeCell ref="A7:B7"/>
  </mergeCells>
  <printOptions horizontalCentered="1"/>
  <pageMargins left="0.39370078740157483" right="0.39370078740157483" top="0.78740157480314965" bottom="0.23622047244094491" header="0.39370078740157483" footer="0.19685039370078741"/>
  <pageSetup paperSize="9" scale="60" fitToWidth="0" fitToHeight="0" orientation="landscape" r:id="rId1"/>
  <headerFooter>
    <oddHeader>&amp;L&amp;G&amp;C&amp;"Arial,Bold"
&amp;14PROJETO DE SERVIÇOS DE I&amp;&amp;D E CONSULTORIA</oddHeader>
  </headerFooter>
  <rowBreaks count="2" manualBreakCount="2">
    <brk id="12" max="16383" man="1"/>
    <brk id="25" max="16383"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tabColor theme="0" tint="-0.14999847407452621"/>
  </sheetPr>
  <dimension ref="A1:AH125"/>
  <sheetViews>
    <sheetView showGridLines="0" zoomScaleNormal="100" workbookViewId="0">
      <selection sqref="A1:B1"/>
    </sheetView>
  </sheetViews>
  <sheetFormatPr defaultColWidth="9.140625" defaultRowHeight="14.1"/>
  <cols>
    <col min="1" max="1" width="33.140625" style="3" customWidth="1"/>
    <col min="2" max="2" width="180.85546875" style="3" customWidth="1"/>
    <col min="3" max="6" width="16.5703125" style="3" customWidth="1"/>
    <col min="7" max="16384" width="9.140625" style="3"/>
  </cols>
  <sheetData>
    <row r="1" spans="1:34" ht="39.950000000000003" customHeight="1">
      <c r="A1" s="554" t="s">
        <v>49</v>
      </c>
      <c r="B1" s="554"/>
    </row>
    <row r="2" spans="1:34" customFormat="1" ht="8.1" customHeight="1">
      <c r="A2" s="61"/>
      <c r="B2" s="61"/>
      <c r="C2" s="61"/>
      <c r="D2" s="61"/>
      <c r="E2" s="61"/>
      <c r="F2" s="61"/>
      <c r="G2" s="61"/>
      <c r="H2" s="61"/>
      <c r="I2" s="62"/>
      <c r="P2" s="201"/>
      <c r="Q2" s="63"/>
      <c r="R2" s="205"/>
      <c r="Z2" s="60"/>
      <c r="AA2" s="60"/>
      <c r="AB2" s="60"/>
      <c r="AC2" s="60"/>
      <c r="AE2" s="63"/>
    </row>
    <row r="3" spans="1:34" ht="24" customHeight="1">
      <c r="A3" s="556" t="s">
        <v>50</v>
      </c>
      <c r="B3" s="556"/>
      <c r="C3" s="52"/>
      <c r="D3" s="52"/>
      <c r="E3" s="52"/>
      <c r="G3"/>
      <c r="H3"/>
      <c r="I3"/>
      <c r="J3"/>
      <c r="K3"/>
      <c r="L3"/>
      <c r="M3"/>
      <c r="N3"/>
      <c r="O3"/>
      <c r="P3"/>
      <c r="Q3"/>
      <c r="R3"/>
      <c r="S3"/>
      <c r="T3"/>
      <c r="U3"/>
      <c r="V3"/>
      <c r="W3"/>
      <c r="X3"/>
      <c r="Y3"/>
      <c r="Z3"/>
    </row>
    <row r="4" spans="1:34" s="91" customFormat="1" ht="8.1" customHeight="1">
      <c r="A4" s="46"/>
      <c r="B4" s="46"/>
      <c r="C4" s="46"/>
      <c r="D4" s="46"/>
      <c r="E4" s="46"/>
      <c r="F4" s="46"/>
      <c r="G4" s="46"/>
      <c r="H4" s="55"/>
      <c r="I4" s="55"/>
      <c r="J4" s="176"/>
      <c r="K4" s="176"/>
      <c r="L4" s="176"/>
      <c r="M4" s="176"/>
      <c r="N4" s="176"/>
      <c r="O4" s="176"/>
      <c r="P4" s="197"/>
      <c r="Q4" s="48"/>
      <c r="R4" s="557"/>
      <c r="S4" s="557"/>
      <c r="T4" s="557"/>
      <c r="U4" s="557"/>
      <c r="V4" s="177"/>
      <c r="W4" s="180"/>
      <c r="X4" s="176"/>
      <c r="Y4" s="176"/>
      <c r="Z4" s="178"/>
      <c r="AA4" s="178"/>
      <c r="AB4" s="178"/>
      <c r="AC4" s="179"/>
      <c r="AH4" s="46"/>
    </row>
    <row r="5" spans="1:34" ht="32.1" customHeight="1">
      <c r="A5" s="94" t="s">
        <v>51</v>
      </c>
      <c r="B5" s="222" t="s">
        <v>52</v>
      </c>
    </row>
    <row r="6" spans="1:34" ht="8.1" customHeight="1">
      <c r="A6" s="4"/>
      <c r="B6" s="4"/>
    </row>
    <row r="7" spans="1:34" ht="32.1" customHeight="1">
      <c r="A7" s="94" t="s">
        <v>53</v>
      </c>
      <c r="B7" s="222" t="s">
        <v>54</v>
      </c>
    </row>
    <row r="8" spans="1:34" ht="8.1" customHeight="1">
      <c r="A8" s="4"/>
      <c r="B8" s="4"/>
    </row>
    <row r="9" spans="1:34" ht="93.75" customHeight="1">
      <c r="A9" s="94" t="s">
        <v>55</v>
      </c>
      <c r="B9" s="222" t="s">
        <v>56</v>
      </c>
    </row>
    <row r="10" spans="1:34" ht="8.1" customHeight="1">
      <c r="A10" s="4"/>
      <c r="B10" s="4"/>
    </row>
    <row r="11" spans="1:34" ht="69.95" customHeight="1">
      <c r="A11" s="94" t="s">
        <v>57</v>
      </c>
      <c r="B11" s="222" t="s">
        <v>58</v>
      </c>
    </row>
    <row r="12" spans="1:34" ht="8.1" customHeight="1">
      <c r="A12" s="4"/>
      <c r="B12" s="4"/>
    </row>
    <row r="13" spans="1:34" ht="24" customHeight="1">
      <c r="A13" s="94" t="s">
        <v>59</v>
      </c>
      <c r="B13" s="222" t="s">
        <v>60</v>
      </c>
    </row>
    <row r="14" spans="1:34" customFormat="1" ht="18" customHeight="1">
      <c r="A14" s="61"/>
      <c r="B14" s="61"/>
      <c r="C14" s="61"/>
      <c r="D14" s="61"/>
      <c r="E14" s="61"/>
      <c r="F14" s="61"/>
      <c r="G14" s="61"/>
      <c r="H14" s="61"/>
      <c r="I14" s="62"/>
      <c r="P14" s="201"/>
      <c r="Q14" s="63"/>
      <c r="R14" s="205"/>
      <c r="Z14" s="60"/>
      <c r="AA14" s="60"/>
      <c r="AB14" s="60"/>
      <c r="AC14" s="60"/>
      <c r="AE14" s="63"/>
    </row>
    <row r="15" spans="1:34" ht="24" customHeight="1">
      <c r="A15" s="556" t="s">
        <v>61</v>
      </c>
      <c r="B15" s="556"/>
      <c r="C15" s="52"/>
      <c r="D15" s="52"/>
      <c r="E15" s="52"/>
      <c r="G15"/>
      <c r="H15"/>
      <c r="I15"/>
      <c r="J15"/>
      <c r="K15"/>
      <c r="L15"/>
      <c r="M15"/>
      <c r="N15"/>
      <c r="O15"/>
      <c r="P15"/>
      <c r="Q15"/>
      <c r="R15"/>
      <c r="S15"/>
      <c r="T15"/>
      <c r="U15"/>
      <c r="V15"/>
      <c r="W15"/>
      <c r="X15"/>
      <c r="Y15"/>
      <c r="Z15"/>
    </row>
    <row r="16" spans="1:34" s="91" customFormat="1" ht="8.1" customHeight="1">
      <c r="A16" s="46"/>
      <c r="B16" s="46"/>
      <c r="C16" s="46"/>
      <c r="D16" s="46"/>
      <c r="E16" s="46"/>
      <c r="F16" s="46"/>
      <c r="G16" s="46"/>
      <c r="H16" s="55"/>
      <c r="I16" s="55"/>
      <c r="J16" s="176"/>
      <c r="K16" s="176"/>
      <c r="L16" s="176"/>
      <c r="M16" s="176"/>
      <c r="N16" s="176"/>
      <c r="O16" s="176"/>
      <c r="P16" s="197"/>
      <c r="Q16" s="48"/>
      <c r="R16" s="557"/>
      <c r="S16" s="557"/>
      <c r="T16" s="557"/>
      <c r="U16" s="557"/>
      <c r="V16" s="177"/>
      <c r="W16" s="180"/>
      <c r="X16" s="176"/>
      <c r="Y16" s="176"/>
      <c r="Z16" s="178"/>
      <c r="AA16" s="178"/>
      <c r="AB16" s="178"/>
      <c r="AC16" s="179"/>
      <c r="AH16" s="46"/>
    </row>
    <row r="17" spans="1:2" ht="32.1" customHeight="1">
      <c r="A17" s="94" t="s">
        <v>62</v>
      </c>
      <c r="B17" s="222" t="s">
        <v>63</v>
      </c>
    </row>
    <row r="18" spans="1:2" ht="8.1" customHeight="1">
      <c r="A18" s="4"/>
      <c r="B18" s="4"/>
    </row>
    <row r="19" spans="1:2" ht="32.1" customHeight="1">
      <c r="A19" s="94" t="s">
        <v>64</v>
      </c>
      <c r="B19" s="222" t="s">
        <v>65</v>
      </c>
    </row>
    <row r="20" spans="1:2" ht="8.1" customHeight="1">
      <c r="A20" s="4"/>
      <c r="B20" s="4"/>
    </row>
    <row r="21" spans="1:2" ht="24" customHeight="1">
      <c r="A21" s="94" t="s">
        <v>66</v>
      </c>
      <c r="B21" s="222" t="s">
        <v>67</v>
      </c>
    </row>
    <row r="22" spans="1:2" ht="8.1" customHeight="1">
      <c r="A22" s="4"/>
      <c r="B22" s="4"/>
    </row>
    <row r="23" spans="1:2" ht="63" customHeight="1">
      <c r="A23" s="94" t="s">
        <v>68</v>
      </c>
      <c r="B23" s="222" t="s">
        <v>69</v>
      </c>
    </row>
    <row r="24" spans="1:2" ht="8.1" customHeight="1">
      <c r="A24" s="4"/>
      <c r="B24" s="4"/>
    </row>
    <row r="25" spans="1:2" ht="100.5" customHeight="1">
      <c r="A25" s="94" t="s">
        <v>70</v>
      </c>
      <c r="B25" s="222" t="s">
        <v>71</v>
      </c>
    </row>
    <row r="26" spans="1:2" ht="8.1" customHeight="1">
      <c r="A26" s="4"/>
      <c r="B26" s="4"/>
    </row>
    <row r="27" spans="1:2" ht="32.1" customHeight="1">
      <c r="A27" s="94" t="s">
        <v>72</v>
      </c>
      <c r="B27" s="222" t="s">
        <v>73</v>
      </c>
    </row>
    <row r="28" spans="1:2" ht="8.1" customHeight="1">
      <c r="A28" s="4"/>
      <c r="B28" s="4"/>
    </row>
    <row r="29" spans="1:2" ht="143.25" customHeight="1">
      <c r="A29" s="94" t="s">
        <v>74</v>
      </c>
      <c r="B29" s="222" t="s">
        <v>75</v>
      </c>
    </row>
    <row r="30" spans="1:2" ht="8.1" customHeight="1">
      <c r="A30" s="4"/>
      <c r="B30" s="4"/>
    </row>
    <row r="31" spans="1:2" ht="82.5" customHeight="1">
      <c r="A31" s="94" t="s">
        <v>76</v>
      </c>
      <c r="B31" s="222" t="s">
        <v>77</v>
      </c>
    </row>
    <row r="32" spans="1:2" ht="8.1" customHeight="1">
      <c r="A32" s="4"/>
      <c r="B32" s="4"/>
    </row>
    <row r="33" spans="1:31" ht="48" customHeight="1">
      <c r="A33" s="94" t="s">
        <v>78</v>
      </c>
      <c r="B33" s="222" t="s">
        <v>79</v>
      </c>
      <c r="C33" s="382"/>
    </row>
    <row r="34" spans="1:31" ht="8.1" customHeight="1">
      <c r="A34" s="4"/>
      <c r="B34" s="4"/>
    </row>
    <row r="35" spans="1:31" ht="73.5" customHeight="1">
      <c r="A35" s="94" t="s">
        <v>80</v>
      </c>
      <c r="B35" s="222" t="s">
        <v>81</v>
      </c>
    </row>
    <row r="36" spans="1:31" ht="8.1" customHeight="1">
      <c r="A36" s="4"/>
      <c r="B36" s="4"/>
    </row>
    <row r="37" spans="1:31" ht="48" customHeight="1">
      <c r="A37" s="94" t="s">
        <v>82</v>
      </c>
      <c r="B37" s="222" t="s">
        <v>83</v>
      </c>
      <c r="C37" s="382"/>
    </row>
    <row r="38" spans="1:31" customFormat="1" ht="18" customHeight="1">
      <c r="A38" s="61"/>
      <c r="B38" s="61"/>
      <c r="C38" s="61"/>
      <c r="D38" s="61"/>
      <c r="E38" s="61"/>
      <c r="F38" s="61"/>
      <c r="G38" s="61"/>
      <c r="H38" s="61"/>
      <c r="I38" s="62"/>
      <c r="P38" s="201"/>
      <c r="Q38" s="63"/>
      <c r="R38" s="205"/>
      <c r="Z38" s="60"/>
      <c r="AA38" s="60"/>
      <c r="AB38" s="60"/>
      <c r="AC38" s="60"/>
      <c r="AE38" s="63"/>
    </row>
    <row r="39" spans="1:31" ht="24" customHeight="1">
      <c r="A39" s="556" t="s">
        <v>84</v>
      </c>
      <c r="B39" s="556"/>
      <c r="C39" s="52"/>
      <c r="D39" s="52"/>
      <c r="E39" s="52"/>
      <c r="G39"/>
      <c r="H39"/>
      <c r="I39"/>
      <c r="J39"/>
      <c r="K39"/>
      <c r="L39"/>
      <c r="M39"/>
      <c r="N39"/>
      <c r="O39"/>
      <c r="P39"/>
      <c r="Q39"/>
      <c r="R39"/>
      <c r="S39"/>
      <c r="T39"/>
      <c r="U39"/>
      <c r="V39"/>
      <c r="W39"/>
      <c r="X39"/>
      <c r="Y39"/>
      <c r="Z39"/>
    </row>
    <row r="40" spans="1:31" ht="8.1" customHeight="1">
      <c r="A40" s="4"/>
      <c r="B40" s="4"/>
    </row>
    <row r="41" spans="1:31" ht="32.1" customHeight="1">
      <c r="A41" s="94" t="s">
        <v>85</v>
      </c>
      <c r="B41" s="222" t="s">
        <v>86</v>
      </c>
    </row>
    <row r="42" spans="1:31" ht="8.1" customHeight="1">
      <c r="A42" s="4"/>
      <c r="B42" s="4"/>
    </row>
    <row r="43" spans="1:31" ht="32.1" customHeight="1">
      <c r="A43" s="94" t="s">
        <v>87</v>
      </c>
      <c r="B43" s="222" t="s">
        <v>88</v>
      </c>
    </row>
    <row r="44" spans="1:31" ht="8.1" customHeight="1">
      <c r="A44" s="4"/>
      <c r="B44" s="4"/>
    </row>
    <row r="45" spans="1:31" ht="24" customHeight="1">
      <c r="A45" s="94" t="s">
        <v>89</v>
      </c>
      <c r="B45" s="222" t="s">
        <v>90</v>
      </c>
    </row>
    <row r="46" spans="1:31" customFormat="1" ht="18" customHeight="1">
      <c r="A46" s="61"/>
      <c r="B46" s="61"/>
      <c r="C46" s="61"/>
      <c r="D46" s="61"/>
      <c r="E46" s="61"/>
      <c r="F46" s="61"/>
      <c r="G46" s="61"/>
      <c r="H46" s="61"/>
      <c r="I46" s="62"/>
      <c r="P46" s="201"/>
      <c r="Q46" s="63"/>
      <c r="R46" s="205"/>
      <c r="Z46" s="60"/>
      <c r="AA46" s="60"/>
      <c r="AB46" s="60"/>
      <c r="AC46" s="60"/>
      <c r="AE46" s="63"/>
    </row>
    <row r="47" spans="1:31" ht="24" customHeight="1">
      <c r="A47" s="556" t="s">
        <v>91</v>
      </c>
      <c r="B47" s="556"/>
      <c r="C47" s="52"/>
      <c r="D47" s="52"/>
      <c r="E47" s="52"/>
      <c r="G47"/>
      <c r="H47"/>
      <c r="I47"/>
      <c r="J47"/>
      <c r="K47"/>
      <c r="L47"/>
      <c r="M47"/>
      <c r="N47"/>
      <c r="O47"/>
      <c r="P47"/>
      <c r="Q47"/>
      <c r="R47"/>
      <c r="S47"/>
      <c r="T47"/>
      <c r="U47"/>
      <c r="V47"/>
      <c r="W47"/>
      <c r="X47"/>
      <c r="Y47"/>
      <c r="Z47"/>
    </row>
    <row r="48" spans="1:31" ht="8.1" customHeight="1">
      <c r="A48" s="4"/>
      <c r="B48" s="4"/>
    </row>
    <row r="49" spans="1:31" ht="110.1" customHeight="1">
      <c r="A49" s="94" t="s">
        <v>92</v>
      </c>
      <c r="B49" s="222" t="s">
        <v>93</v>
      </c>
    </row>
    <row r="50" spans="1:31" ht="8.1" customHeight="1">
      <c r="A50" s="4"/>
      <c r="B50" s="4"/>
    </row>
    <row r="51" spans="1:31" ht="32.1" customHeight="1">
      <c r="A51" s="94" t="s">
        <v>87</v>
      </c>
      <c r="B51" s="222" t="s">
        <v>94</v>
      </c>
    </row>
    <row r="52" spans="1:31" ht="8.1" customHeight="1">
      <c r="A52" s="4"/>
      <c r="B52" s="4"/>
    </row>
    <row r="53" spans="1:31" ht="81" customHeight="1">
      <c r="A53" s="94" t="s">
        <v>95</v>
      </c>
      <c r="B53" s="222" t="s">
        <v>96</v>
      </c>
    </row>
    <row r="54" spans="1:31" ht="8.1" customHeight="1">
      <c r="A54" s="4"/>
      <c r="B54" s="4"/>
    </row>
    <row r="55" spans="1:31" ht="32.1" customHeight="1">
      <c r="A55" s="94" t="s">
        <v>89</v>
      </c>
      <c r="B55" s="222" t="s">
        <v>97</v>
      </c>
    </row>
    <row r="56" spans="1:31" customFormat="1" ht="18" customHeight="1">
      <c r="A56" s="61"/>
      <c r="B56" s="61"/>
      <c r="C56" s="61"/>
      <c r="D56" s="61"/>
      <c r="E56" s="61"/>
      <c r="F56" s="61"/>
      <c r="G56" s="61"/>
      <c r="H56" s="61"/>
      <c r="I56" s="62"/>
      <c r="P56" s="201"/>
      <c r="Q56" s="63"/>
      <c r="R56" s="205"/>
      <c r="Z56" s="60"/>
      <c r="AA56" s="60"/>
      <c r="AB56" s="60"/>
      <c r="AC56" s="60"/>
      <c r="AE56" s="63"/>
    </row>
    <row r="57" spans="1:31" s="84" customFormat="1" ht="15.95" customHeight="1">
      <c r="A57" s="3"/>
      <c r="B57" s="3"/>
      <c r="C57" s="3"/>
      <c r="D57" s="3"/>
      <c r="E57" s="3"/>
      <c r="F57" s="3"/>
      <c r="G57" s="3"/>
      <c r="H57" s="3"/>
      <c r="I57" s="3"/>
      <c r="J57" s="3"/>
      <c r="K57" s="3"/>
      <c r="L57" s="3"/>
    </row>
    <row r="58" spans="1:31" s="84" customFormat="1" ht="15.95" customHeight="1">
      <c r="A58" s="3"/>
      <c r="B58" s="3"/>
      <c r="C58" s="3"/>
      <c r="D58" s="3"/>
      <c r="E58" s="3"/>
      <c r="F58" s="3"/>
      <c r="G58" s="3"/>
      <c r="H58" s="3"/>
      <c r="I58" s="3"/>
      <c r="J58" s="3"/>
      <c r="K58" s="3"/>
      <c r="L58" s="3"/>
    </row>
    <row r="59" spans="1:31" s="84" customFormat="1" ht="15.95" customHeight="1">
      <c r="A59" s="3"/>
      <c r="B59" s="3"/>
      <c r="C59" s="3"/>
      <c r="D59" s="3"/>
      <c r="E59" s="3"/>
      <c r="F59" s="3"/>
      <c r="G59" s="3"/>
      <c r="H59" s="3"/>
      <c r="I59" s="3"/>
      <c r="J59" s="3"/>
      <c r="K59" s="3"/>
      <c r="L59" s="3"/>
    </row>
    <row r="60" spans="1:31" s="84" customFormat="1" ht="15.95" customHeight="1">
      <c r="A60" s="3"/>
      <c r="B60" s="3"/>
      <c r="C60" s="3"/>
      <c r="D60" s="3"/>
      <c r="E60" s="3"/>
      <c r="F60" s="3"/>
      <c r="G60" s="3"/>
      <c r="H60" s="3"/>
      <c r="I60" s="3"/>
      <c r="J60" s="3"/>
      <c r="K60" s="3"/>
      <c r="L60" s="3"/>
    </row>
    <row r="61" spans="1:31" s="84" customFormat="1" ht="15.95" customHeight="1">
      <c r="A61" s="3"/>
      <c r="B61" s="3"/>
      <c r="C61" s="3"/>
      <c r="D61" s="3"/>
      <c r="E61" s="3"/>
      <c r="F61" s="3"/>
      <c r="G61" s="3"/>
      <c r="H61" s="3"/>
      <c r="I61" s="3"/>
      <c r="J61" s="3"/>
      <c r="K61" s="3"/>
      <c r="L61" s="3"/>
    </row>
    <row r="62" spans="1:31" s="84" customFormat="1" ht="15.95" customHeight="1">
      <c r="A62" s="3"/>
      <c r="B62" s="3"/>
      <c r="C62" s="3"/>
      <c r="D62" s="3"/>
      <c r="E62" s="3"/>
      <c r="F62" s="3"/>
      <c r="G62" s="3"/>
      <c r="H62" s="3"/>
      <c r="I62" s="3"/>
      <c r="J62" s="3"/>
      <c r="K62" s="3"/>
      <c r="L62" s="3"/>
    </row>
    <row r="63" spans="1:31" s="84" customFormat="1" ht="15.95" customHeight="1">
      <c r="A63" s="3"/>
      <c r="B63" s="3"/>
      <c r="C63" s="3"/>
      <c r="D63" s="3"/>
      <c r="E63" s="3"/>
      <c r="F63" s="3"/>
      <c r="G63" s="3"/>
      <c r="H63" s="3"/>
      <c r="I63" s="3"/>
      <c r="J63" s="3"/>
      <c r="K63" s="3"/>
      <c r="L63" s="3"/>
    </row>
    <row r="64" spans="1:31" s="84" customFormat="1" ht="15.95" customHeight="1">
      <c r="A64" s="3"/>
      <c r="B64" s="3"/>
      <c r="C64" s="3"/>
      <c r="D64" s="3"/>
      <c r="E64" s="3"/>
      <c r="F64" s="3"/>
      <c r="G64" s="3"/>
      <c r="H64" s="3"/>
      <c r="I64" s="3"/>
      <c r="J64" s="3"/>
      <c r="K64" s="3"/>
      <c r="L64" s="3"/>
    </row>
    <row r="65" spans="1:12" s="84" customFormat="1" ht="15.95" customHeight="1">
      <c r="A65" s="3"/>
      <c r="B65" s="3"/>
      <c r="C65" s="3"/>
      <c r="D65" s="3"/>
      <c r="E65" s="3"/>
      <c r="F65" s="3"/>
      <c r="G65" s="3"/>
      <c r="H65" s="3"/>
      <c r="I65" s="3"/>
      <c r="J65" s="3"/>
      <c r="K65" s="3"/>
      <c r="L65" s="3"/>
    </row>
    <row r="66" spans="1:12" s="84" customFormat="1" ht="15.95" customHeight="1">
      <c r="A66" s="3"/>
      <c r="B66" s="3"/>
      <c r="C66" s="3"/>
      <c r="D66" s="3"/>
      <c r="E66" s="3"/>
      <c r="F66" s="3"/>
      <c r="G66" s="3"/>
      <c r="H66" s="3"/>
      <c r="I66" s="3"/>
      <c r="J66" s="3"/>
      <c r="K66" s="3"/>
      <c r="L66" s="3"/>
    </row>
    <row r="67" spans="1:12" s="84" customFormat="1" ht="15.95" customHeight="1">
      <c r="A67" s="3"/>
      <c r="B67" s="3"/>
      <c r="C67" s="3"/>
      <c r="D67" s="3"/>
      <c r="E67" s="3"/>
      <c r="F67" s="3"/>
      <c r="G67" s="3"/>
      <c r="H67" s="3"/>
      <c r="I67" s="3"/>
      <c r="J67" s="3"/>
      <c r="K67" s="3"/>
      <c r="L67" s="3"/>
    </row>
    <row r="68" spans="1:12" s="84" customFormat="1" ht="15.95" customHeight="1">
      <c r="A68" s="3"/>
      <c r="B68" s="3"/>
      <c r="C68" s="3"/>
      <c r="D68" s="3"/>
      <c r="E68" s="3"/>
      <c r="F68" s="3"/>
      <c r="G68" s="3"/>
      <c r="H68" s="3"/>
      <c r="I68" s="3"/>
      <c r="J68" s="3"/>
      <c r="K68" s="3"/>
      <c r="L68" s="3"/>
    </row>
    <row r="69" spans="1:12" s="84" customFormat="1" ht="15.95" customHeight="1">
      <c r="A69" s="3"/>
      <c r="B69" s="3"/>
      <c r="C69" s="3"/>
      <c r="D69" s="3"/>
      <c r="E69" s="3"/>
      <c r="F69" s="3"/>
      <c r="G69" s="3"/>
      <c r="H69" s="3"/>
      <c r="I69" s="3"/>
      <c r="J69" s="3"/>
      <c r="K69" s="3"/>
      <c r="L69" s="3"/>
    </row>
    <row r="70" spans="1:12" s="84" customFormat="1" ht="15.95" customHeight="1">
      <c r="A70" s="3"/>
      <c r="B70" s="3"/>
      <c r="C70" s="3"/>
      <c r="D70" s="3"/>
      <c r="E70" s="3"/>
      <c r="F70" s="3"/>
      <c r="G70" s="3"/>
      <c r="H70" s="3"/>
      <c r="I70" s="3"/>
      <c r="J70" s="3"/>
      <c r="K70" s="3"/>
      <c r="L70" s="3"/>
    </row>
    <row r="71" spans="1:12" s="84" customFormat="1" ht="15.95" customHeight="1">
      <c r="A71" s="3"/>
      <c r="B71" s="3"/>
      <c r="C71" s="3"/>
      <c r="D71" s="3"/>
      <c r="E71" s="3"/>
      <c r="F71" s="3"/>
      <c r="G71" s="3"/>
      <c r="H71" s="3"/>
      <c r="I71" s="3"/>
      <c r="J71" s="3"/>
      <c r="K71" s="3"/>
      <c r="L71" s="3"/>
    </row>
    <row r="72" spans="1:12" s="84" customFormat="1" ht="15.95" customHeight="1">
      <c r="A72" s="3"/>
      <c r="B72" s="3"/>
      <c r="C72" s="3"/>
      <c r="D72" s="3"/>
      <c r="E72" s="3"/>
      <c r="F72" s="3"/>
      <c r="G72" s="3"/>
      <c r="H72" s="3"/>
      <c r="I72" s="3"/>
      <c r="J72" s="3"/>
      <c r="K72" s="3"/>
      <c r="L72" s="3"/>
    </row>
    <row r="73" spans="1:12" s="84" customFormat="1" ht="15.95" customHeight="1">
      <c r="A73" s="3"/>
      <c r="B73" s="3"/>
      <c r="C73" s="3"/>
      <c r="D73" s="3"/>
      <c r="E73" s="3"/>
      <c r="F73" s="3"/>
      <c r="G73" s="3"/>
      <c r="H73" s="3"/>
      <c r="I73" s="3"/>
      <c r="J73" s="3"/>
      <c r="K73" s="3"/>
      <c r="L73" s="3"/>
    </row>
    <row r="74" spans="1:12" s="84" customFormat="1" ht="15.95" customHeight="1">
      <c r="A74" s="3"/>
      <c r="B74" s="3"/>
      <c r="C74" s="3"/>
      <c r="D74" s="3"/>
      <c r="E74" s="3"/>
      <c r="F74" s="3"/>
      <c r="G74" s="3"/>
      <c r="H74" s="3"/>
      <c r="I74" s="3"/>
      <c r="J74" s="3"/>
      <c r="K74" s="3"/>
      <c r="L74" s="3"/>
    </row>
    <row r="75" spans="1:12" s="84" customFormat="1" ht="15.95" customHeight="1">
      <c r="A75" s="3"/>
      <c r="B75" s="3"/>
      <c r="C75" s="3"/>
      <c r="D75" s="3"/>
      <c r="E75" s="3"/>
      <c r="F75" s="3"/>
      <c r="G75" s="3"/>
      <c r="H75" s="3"/>
      <c r="I75" s="3"/>
      <c r="J75" s="3"/>
      <c r="K75" s="3"/>
      <c r="L75" s="3"/>
    </row>
    <row r="76" spans="1:12" s="84" customFormat="1" ht="15.95" customHeight="1">
      <c r="A76" s="3"/>
      <c r="B76" s="3"/>
      <c r="C76" s="3"/>
      <c r="D76" s="3"/>
      <c r="E76" s="3"/>
      <c r="F76" s="3"/>
      <c r="G76" s="3"/>
      <c r="H76" s="3"/>
      <c r="I76" s="3"/>
      <c r="J76" s="3"/>
      <c r="K76" s="3"/>
      <c r="L76" s="3"/>
    </row>
    <row r="77" spans="1:12" s="84" customFormat="1" ht="15.95" customHeight="1">
      <c r="A77" s="3"/>
      <c r="B77" s="3"/>
      <c r="C77" s="3"/>
      <c r="D77" s="3"/>
      <c r="E77" s="3"/>
      <c r="F77" s="3"/>
      <c r="G77" s="3"/>
      <c r="H77" s="3"/>
      <c r="I77" s="3"/>
      <c r="J77" s="3"/>
      <c r="K77" s="3"/>
      <c r="L77" s="3"/>
    </row>
    <row r="78" spans="1:12" s="84" customFormat="1" ht="15.95" customHeight="1">
      <c r="A78" s="3"/>
      <c r="B78" s="3"/>
      <c r="C78" s="3"/>
      <c r="D78" s="3"/>
      <c r="E78" s="3"/>
      <c r="F78" s="3"/>
      <c r="G78" s="3"/>
      <c r="H78" s="3"/>
      <c r="I78" s="3"/>
      <c r="J78" s="3"/>
      <c r="K78" s="3"/>
      <c r="L78" s="3"/>
    </row>
    <row r="79" spans="1:12" s="84" customFormat="1" ht="15.95" customHeight="1">
      <c r="A79" s="3"/>
      <c r="B79" s="3"/>
      <c r="C79" s="3"/>
      <c r="D79" s="3"/>
      <c r="E79" s="3"/>
      <c r="F79" s="3"/>
      <c r="G79" s="3"/>
      <c r="H79" s="3"/>
      <c r="I79" s="3"/>
      <c r="J79" s="3"/>
      <c r="K79" s="3"/>
      <c r="L79" s="3"/>
    </row>
    <row r="80" spans="1:12" s="84" customFormat="1" ht="15.95" customHeight="1">
      <c r="A80" s="3"/>
      <c r="B80" s="3"/>
      <c r="C80" s="3"/>
      <c r="D80" s="3"/>
      <c r="E80" s="3"/>
      <c r="F80" s="3"/>
      <c r="G80" s="3"/>
      <c r="H80" s="3"/>
      <c r="I80" s="3"/>
      <c r="J80" s="3"/>
      <c r="K80" s="3"/>
      <c r="L80" s="3"/>
    </row>
    <row r="81" spans="1:12" s="84" customFormat="1" ht="15.95" customHeight="1">
      <c r="A81" s="3"/>
      <c r="B81" s="3"/>
      <c r="C81" s="3"/>
      <c r="D81" s="3"/>
      <c r="E81" s="3"/>
      <c r="F81" s="3"/>
      <c r="G81" s="3"/>
      <c r="H81" s="3"/>
      <c r="I81" s="3"/>
      <c r="J81" s="3"/>
      <c r="K81" s="3"/>
      <c r="L81" s="3"/>
    </row>
    <row r="82" spans="1:12" s="84" customFormat="1" ht="15.95" customHeight="1">
      <c r="A82" s="3"/>
      <c r="B82" s="3"/>
      <c r="C82" s="3"/>
      <c r="D82" s="3"/>
      <c r="E82" s="3"/>
      <c r="F82" s="3"/>
      <c r="G82" s="3"/>
      <c r="H82" s="3"/>
      <c r="I82" s="3"/>
      <c r="J82" s="3"/>
      <c r="K82" s="3"/>
      <c r="L82" s="3"/>
    </row>
    <row r="83" spans="1:12" s="84" customFormat="1" ht="15.95" customHeight="1">
      <c r="A83" s="3"/>
      <c r="B83" s="3"/>
      <c r="C83" s="3"/>
      <c r="D83" s="3"/>
      <c r="E83" s="3"/>
      <c r="F83" s="3"/>
      <c r="G83" s="3"/>
      <c r="H83" s="3"/>
      <c r="I83" s="3"/>
      <c r="J83" s="3"/>
      <c r="K83" s="3"/>
      <c r="L83" s="3"/>
    </row>
    <row r="84" spans="1:12" s="84" customFormat="1" ht="15.95" customHeight="1">
      <c r="A84" s="3"/>
      <c r="B84" s="3"/>
      <c r="C84" s="3"/>
      <c r="D84" s="3"/>
      <c r="E84" s="3"/>
      <c r="F84" s="3"/>
      <c r="G84" s="3"/>
      <c r="H84" s="3"/>
      <c r="I84" s="3"/>
      <c r="J84" s="3"/>
      <c r="K84" s="3"/>
      <c r="L84" s="3"/>
    </row>
    <row r="85" spans="1:12" s="84" customFormat="1" ht="15.95" customHeight="1">
      <c r="A85" s="3"/>
      <c r="B85" s="3"/>
      <c r="C85" s="3"/>
      <c r="D85" s="3"/>
      <c r="E85" s="3"/>
      <c r="F85" s="3"/>
      <c r="G85" s="3"/>
      <c r="H85" s="3"/>
      <c r="I85" s="3"/>
      <c r="J85" s="3"/>
      <c r="K85" s="3"/>
      <c r="L85" s="3"/>
    </row>
    <row r="86" spans="1:12" s="84" customFormat="1" ht="15.95" customHeight="1">
      <c r="A86" s="3"/>
      <c r="B86" s="3"/>
      <c r="C86" s="3"/>
      <c r="D86" s="3"/>
      <c r="E86" s="3"/>
      <c r="F86" s="3"/>
      <c r="G86" s="3"/>
      <c r="H86" s="3"/>
      <c r="I86" s="3"/>
      <c r="J86" s="3"/>
      <c r="K86" s="3"/>
      <c r="L86" s="3"/>
    </row>
    <row r="87" spans="1:12" s="84" customFormat="1" ht="15.95" customHeight="1">
      <c r="A87" s="3"/>
      <c r="B87" s="3"/>
      <c r="C87" s="3"/>
      <c r="D87" s="3"/>
      <c r="E87" s="3"/>
      <c r="F87" s="3"/>
      <c r="G87" s="3"/>
      <c r="H87" s="3"/>
      <c r="I87" s="3"/>
      <c r="J87" s="3"/>
      <c r="K87" s="3"/>
      <c r="L87" s="3"/>
    </row>
    <row r="88" spans="1:12" s="84" customFormat="1" ht="15.95" customHeight="1">
      <c r="A88" s="3"/>
      <c r="B88" s="3"/>
      <c r="C88" s="3"/>
      <c r="D88" s="3"/>
      <c r="E88" s="3"/>
      <c r="F88" s="3"/>
      <c r="G88" s="3"/>
      <c r="H88" s="3"/>
      <c r="I88" s="3"/>
      <c r="J88" s="3"/>
      <c r="K88" s="3"/>
      <c r="L88" s="3"/>
    </row>
    <row r="89" spans="1:12" s="84" customFormat="1" ht="15.95" customHeight="1">
      <c r="A89" s="3"/>
      <c r="B89" s="3"/>
      <c r="C89" s="3"/>
      <c r="D89" s="3"/>
      <c r="E89" s="3"/>
      <c r="F89" s="3"/>
      <c r="G89" s="3"/>
      <c r="H89" s="3"/>
      <c r="I89" s="3"/>
      <c r="J89" s="3"/>
      <c r="K89" s="3"/>
      <c r="L89" s="3"/>
    </row>
    <row r="90" spans="1:12" s="84" customFormat="1" ht="15.95" customHeight="1">
      <c r="A90" s="3"/>
      <c r="B90" s="3"/>
      <c r="C90" s="3"/>
      <c r="D90" s="3"/>
      <c r="E90" s="3"/>
      <c r="F90" s="3"/>
      <c r="G90" s="3"/>
      <c r="H90" s="3"/>
      <c r="I90" s="3"/>
      <c r="J90" s="3"/>
      <c r="K90" s="3"/>
      <c r="L90" s="3"/>
    </row>
    <row r="91" spans="1:12" s="84" customFormat="1" ht="15.95" customHeight="1">
      <c r="A91" s="3"/>
      <c r="B91" s="3"/>
      <c r="C91" s="3"/>
      <c r="D91" s="3"/>
      <c r="E91" s="3"/>
      <c r="F91" s="3"/>
      <c r="G91" s="3"/>
      <c r="H91" s="3"/>
      <c r="I91" s="3"/>
      <c r="J91" s="3"/>
      <c r="K91" s="3"/>
      <c r="L91" s="3"/>
    </row>
    <row r="92" spans="1:12" s="84" customFormat="1" ht="15.95" customHeight="1">
      <c r="A92" s="3"/>
      <c r="B92" s="3"/>
      <c r="C92" s="3"/>
      <c r="D92" s="3"/>
      <c r="E92" s="3"/>
      <c r="F92" s="3"/>
      <c r="G92" s="3"/>
      <c r="H92" s="3"/>
      <c r="I92" s="3"/>
      <c r="J92" s="3"/>
      <c r="K92" s="3"/>
      <c r="L92" s="3"/>
    </row>
    <row r="93" spans="1:12" s="84" customFormat="1" ht="15.95" customHeight="1">
      <c r="A93" s="3"/>
      <c r="B93" s="3"/>
      <c r="C93" s="3"/>
      <c r="D93" s="3"/>
      <c r="E93" s="3"/>
      <c r="F93" s="3"/>
      <c r="G93" s="3"/>
      <c r="H93" s="3"/>
      <c r="I93" s="3"/>
      <c r="J93" s="3"/>
      <c r="K93" s="3"/>
      <c r="L93" s="3"/>
    </row>
    <row r="94" spans="1:12" s="84" customFormat="1" ht="15.95" customHeight="1">
      <c r="A94" s="3"/>
      <c r="B94" s="3"/>
      <c r="C94" s="3"/>
      <c r="D94" s="3"/>
      <c r="E94" s="3"/>
      <c r="F94" s="3"/>
      <c r="G94" s="3"/>
      <c r="H94" s="3"/>
      <c r="I94" s="3"/>
      <c r="J94" s="3"/>
      <c r="K94" s="3"/>
      <c r="L94" s="3"/>
    </row>
    <row r="95" spans="1:12" s="84" customFormat="1" ht="15.95" customHeight="1">
      <c r="A95" s="3"/>
      <c r="B95" s="3"/>
      <c r="C95" s="3"/>
      <c r="D95" s="3"/>
      <c r="E95" s="3"/>
      <c r="F95" s="3"/>
      <c r="G95" s="3"/>
      <c r="H95" s="3"/>
      <c r="I95" s="3"/>
      <c r="J95" s="3"/>
      <c r="K95" s="3"/>
      <c r="L95" s="3"/>
    </row>
    <row r="96" spans="1:12" s="84" customFormat="1" ht="15.95" customHeight="1">
      <c r="A96" s="3"/>
      <c r="B96" s="3"/>
      <c r="C96" s="3"/>
      <c r="D96" s="3"/>
      <c r="E96" s="3"/>
      <c r="F96" s="3"/>
      <c r="G96" s="3"/>
      <c r="H96" s="3"/>
      <c r="I96" s="3"/>
      <c r="J96" s="3"/>
      <c r="K96" s="3"/>
      <c r="L96" s="3"/>
    </row>
    <row r="97" spans="1:12" s="84" customFormat="1" ht="15.95" customHeight="1">
      <c r="A97" s="3"/>
      <c r="B97" s="3"/>
      <c r="C97" s="3"/>
      <c r="D97" s="3"/>
      <c r="E97" s="3"/>
      <c r="F97" s="3"/>
      <c r="G97" s="3"/>
      <c r="H97" s="3"/>
      <c r="I97" s="3"/>
      <c r="J97" s="3"/>
      <c r="K97" s="3"/>
      <c r="L97" s="3"/>
    </row>
    <row r="98" spans="1:12" s="84" customFormat="1" ht="15.95" customHeight="1">
      <c r="A98" s="3"/>
      <c r="B98" s="3"/>
      <c r="C98" s="3"/>
      <c r="D98" s="3"/>
      <c r="E98" s="3"/>
      <c r="F98" s="3"/>
      <c r="G98" s="3"/>
      <c r="H98" s="3"/>
      <c r="I98" s="3"/>
      <c r="J98" s="3"/>
      <c r="K98" s="3"/>
      <c r="L98" s="3"/>
    </row>
    <row r="99" spans="1:12" s="84" customFormat="1" ht="15.95" customHeight="1">
      <c r="A99" s="3"/>
      <c r="B99" s="3"/>
      <c r="C99" s="3"/>
      <c r="D99" s="3"/>
      <c r="E99" s="3"/>
      <c r="F99" s="3"/>
      <c r="G99" s="3"/>
      <c r="H99" s="3"/>
      <c r="I99" s="3"/>
      <c r="J99" s="3"/>
      <c r="K99" s="3"/>
      <c r="L99" s="3"/>
    </row>
    <row r="100" spans="1:12" s="84" customFormat="1" ht="15.95" customHeight="1">
      <c r="A100" s="3"/>
      <c r="B100" s="3"/>
      <c r="C100" s="3"/>
      <c r="D100" s="3"/>
      <c r="E100" s="3"/>
      <c r="F100" s="3"/>
      <c r="G100" s="3"/>
      <c r="H100" s="3"/>
      <c r="I100" s="3"/>
      <c r="J100" s="3"/>
      <c r="K100" s="3"/>
      <c r="L100" s="3"/>
    </row>
    <row r="101" spans="1:12" s="84" customFormat="1" ht="15.95" customHeight="1">
      <c r="A101" s="3"/>
      <c r="B101" s="3"/>
      <c r="C101" s="3"/>
      <c r="D101" s="3"/>
      <c r="E101" s="3"/>
      <c r="F101" s="3"/>
      <c r="G101" s="3"/>
      <c r="H101" s="3"/>
      <c r="I101" s="3"/>
      <c r="J101" s="3"/>
      <c r="K101" s="3"/>
      <c r="L101" s="3"/>
    </row>
    <row r="102" spans="1:12" s="84" customFormat="1" ht="15.95" customHeight="1">
      <c r="A102" s="3"/>
      <c r="B102" s="3"/>
      <c r="C102" s="3"/>
      <c r="D102" s="3"/>
      <c r="E102" s="3"/>
      <c r="F102" s="3"/>
      <c r="G102" s="3"/>
      <c r="H102" s="3"/>
      <c r="I102" s="3"/>
      <c r="J102" s="3"/>
      <c r="K102" s="3"/>
      <c r="L102" s="3"/>
    </row>
    <row r="103" spans="1:12" s="84" customFormat="1" ht="15.95" customHeight="1">
      <c r="A103" s="3"/>
      <c r="B103" s="3"/>
      <c r="C103" s="3"/>
      <c r="D103" s="3"/>
      <c r="E103" s="3"/>
      <c r="F103" s="3"/>
      <c r="G103" s="3"/>
      <c r="H103" s="3"/>
      <c r="I103" s="3"/>
      <c r="J103" s="3"/>
      <c r="K103" s="3"/>
      <c r="L103" s="3"/>
    </row>
    <row r="104" spans="1:12" s="84" customFormat="1" ht="15.95" customHeight="1">
      <c r="A104" s="3"/>
      <c r="B104" s="3"/>
      <c r="C104" s="3"/>
      <c r="D104" s="3"/>
      <c r="E104" s="3"/>
      <c r="F104" s="3"/>
      <c r="G104" s="3"/>
      <c r="H104" s="3"/>
      <c r="I104" s="3"/>
      <c r="J104" s="3"/>
      <c r="K104" s="3"/>
      <c r="L104" s="3"/>
    </row>
    <row r="105" spans="1:12" s="84" customFormat="1" ht="15.95" customHeight="1">
      <c r="A105" s="3"/>
      <c r="B105" s="3"/>
      <c r="C105" s="3"/>
      <c r="D105" s="3"/>
      <c r="E105" s="3"/>
      <c r="F105" s="3"/>
      <c r="G105" s="3"/>
      <c r="H105" s="3"/>
      <c r="I105" s="3"/>
      <c r="J105" s="3"/>
      <c r="K105" s="3"/>
      <c r="L105" s="3"/>
    </row>
    <row r="106" spans="1:12" s="84" customFormat="1" ht="15.95" customHeight="1">
      <c r="A106" s="3"/>
      <c r="B106" s="3"/>
      <c r="C106" s="3"/>
      <c r="D106" s="3"/>
      <c r="E106" s="3"/>
      <c r="F106" s="3"/>
      <c r="G106" s="3"/>
      <c r="H106" s="3"/>
      <c r="I106" s="3"/>
      <c r="J106" s="3"/>
      <c r="K106" s="3"/>
      <c r="L106" s="3"/>
    </row>
    <row r="107" spans="1:12" s="84" customFormat="1" ht="15.95" customHeight="1">
      <c r="A107" s="3"/>
      <c r="B107" s="3"/>
      <c r="C107" s="3"/>
      <c r="D107" s="3"/>
      <c r="E107" s="3"/>
      <c r="F107" s="3"/>
      <c r="G107" s="3"/>
      <c r="H107" s="3"/>
      <c r="I107" s="3"/>
      <c r="J107" s="3"/>
      <c r="K107" s="3"/>
      <c r="L107" s="3"/>
    </row>
    <row r="108" spans="1:12" s="84" customFormat="1" ht="15.95" customHeight="1">
      <c r="A108" s="3"/>
      <c r="B108" s="3"/>
      <c r="C108" s="3"/>
      <c r="D108" s="3"/>
      <c r="E108" s="3"/>
      <c r="F108" s="3"/>
      <c r="G108" s="3"/>
      <c r="H108" s="3"/>
      <c r="I108" s="3"/>
      <c r="J108" s="3"/>
      <c r="K108" s="3"/>
      <c r="L108" s="3"/>
    </row>
    <row r="109" spans="1:12" s="84" customFormat="1" ht="15.95" customHeight="1">
      <c r="A109" s="3"/>
      <c r="B109" s="3"/>
      <c r="C109" s="3"/>
      <c r="D109" s="3"/>
      <c r="E109" s="3"/>
      <c r="F109" s="3"/>
      <c r="G109" s="3"/>
      <c r="H109" s="3"/>
      <c r="I109" s="3"/>
      <c r="J109" s="3"/>
      <c r="K109" s="3"/>
      <c r="L109" s="3"/>
    </row>
    <row r="110" spans="1:12" s="84" customFormat="1" ht="15.95" customHeight="1">
      <c r="A110" s="3"/>
      <c r="B110" s="3"/>
      <c r="C110" s="3"/>
      <c r="D110" s="3"/>
      <c r="E110" s="3"/>
      <c r="F110" s="3"/>
      <c r="G110" s="3"/>
      <c r="H110" s="3"/>
      <c r="I110" s="3"/>
      <c r="J110" s="3"/>
      <c r="K110" s="3"/>
      <c r="L110" s="3"/>
    </row>
    <row r="111" spans="1:12" s="84" customFormat="1" ht="15.95" customHeight="1">
      <c r="A111" s="3"/>
      <c r="B111" s="3"/>
      <c r="C111" s="3"/>
      <c r="D111" s="3"/>
      <c r="E111" s="3"/>
      <c r="F111" s="3"/>
      <c r="G111" s="3"/>
      <c r="H111" s="3"/>
      <c r="I111" s="3"/>
      <c r="J111" s="3"/>
      <c r="K111" s="3"/>
      <c r="L111" s="3"/>
    </row>
    <row r="112" spans="1:12" s="84" customFormat="1" ht="15.95" customHeight="1">
      <c r="A112" s="3"/>
      <c r="B112" s="3"/>
      <c r="C112" s="3"/>
      <c r="D112" s="3"/>
      <c r="E112" s="3"/>
      <c r="F112" s="3"/>
      <c r="G112" s="3"/>
      <c r="H112" s="3"/>
      <c r="I112" s="3"/>
      <c r="J112" s="3"/>
      <c r="K112" s="3"/>
      <c r="L112" s="3"/>
    </row>
    <row r="113" spans="1:12" s="84" customFormat="1" ht="15.95" customHeight="1">
      <c r="A113" s="3"/>
      <c r="B113" s="3"/>
      <c r="C113" s="3"/>
      <c r="D113" s="3"/>
      <c r="E113" s="3"/>
      <c r="F113" s="3"/>
      <c r="G113" s="3"/>
      <c r="H113" s="3"/>
      <c r="I113" s="3"/>
      <c r="J113" s="3"/>
      <c r="K113" s="3"/>
      <c r="L113" s="3"/>
    </row>
    <row r="114" spans="1:12" s="84" customFormat="1" ht="15.95" customHeight="1">
      <c r="A114" s="3"/>
      <c r="B114" s="3"/>
      <c r="C114" s="3"/>
      <c r="D114" s="3"/>
      <c r="E114" s="3"/>
      <c r="F114" s="3"/>
      <c r="G114" s="3"/>
      <c r="H114" s="3"/>
      <c r="I114" s="3"/>
      <c r="J114" s="3"/>
      <c r="K114" s="3"/>
      <c r="L114" s="3"/>
    </row>
    <row r="115" spans="1:12" s="84" customFormat="1" ht="15.95" customHeight="1">
      <c r="A115" s="3"/>
      <c r="B115" s="3"/>
      <c r="C115" s="3"/>
      <c r="D115" s="3"/>
      <c r="E115" s="3"/>
      <c r="F115" s="3"/>
      <c r="G115" s="3"/>
      <c r="H115" s="3"/>
      <c r="I115" s="3"/>
      <c r="J115" s="3"/>
      <c r="K115" s="3"/>
      <c r="L115" s="3"/>
    </row>
    <row r="116" spans="1:12" s="84" customFormat="1" ht="15.95" customHeight="1">
      <c r="A116" s="3"/>
      <c r="B116" s="3"/>
      <c r="C116" s="3"/>
      <c r="D116" s="3"/>
      <c r="E116" s="3"/>
      <c r="F116" s="3"/>
      <c r="G116" s="3"/>
      <c r="H116" s="3"/>
      <c r="I116" s="3"/>
      <c r="J116" s="3"/>
      <c r="K116" s="3"/>
      <c r="L116" s="3"/>
    </row>
    <row r="117" spans="1:12" s="84" customFormat="1" ht="15.95" customHeight="1">
      <c r="A117" s="3"/>
      <c r="B117" s="3"/>
      <c r="C117" s="3"/>
      <c r="D117" s="3"/>
      <c r="E117" s="3"/>
      <c r="F117" s="3"/>
      <c r="G117" s="3"/>
      <c r="H117" s="3"/>
      <c r="I117" s="3"/>
      <c r="J117" s="3"/>
      <c r="K117" s="3"/>
      <c r="L117" s="3"/>
    </row>
    <row r="118" spans="1:12" s="84" customFormat="1" ht="15.95" customHeight="1">
      <c r="A118" s="3"/>
      <c r="B118" s="3"/>
      <c r="C118" s="3"/>
      <c r="D118" s="3"/>
      <c r="E118" s="3"/>
      <c r="F118" s="3"/>
      <c r="G118" s="3"/>
      <c r="H118" s="3"/>
      <c r="I118" s="3"/>
      <c r="J118" s="3"/>
      <c r="K118" s="3"/>
      <c r="L118" s="3"/>
    </row>
    <row r="119" spans="1:12" s="84" customFormat="1" ht="15.95" customHeight="1">
      <c r="A119" s="3"/>
      <c r="B119" s="3"/>
      <c r="C119" s="3"/>
      <c r="D119" s="3"/>
      <c r="E119" s="3"/>
      <c r="F119" s="3"/>
      <c r="G119" s="3"/>
      <c r="H119" s="3"/>
      <c r="I119" s="3"/>
      <c r="J119" s="3"/>
      <c r="K119" s="3"/>
      <c r="L119" s="3"/>
    </row>
    <row r="120" spans="1:12" s="84" customFormat="1" ht="15.95" customHeight="1">
      <c r="A120" s="3"/>
      <c r="B120" s="3"/>
      <c r="C120" s="3"/>
      <c r="D120" s="3"/>
      <c r="E120" s="3"/>
      <c r="F120" s="3"/>
      <c r="G120" s="3"/>
      <c r="H120" s="3"/>
      <c r="I120" s="3"/>
      <c r="J120" s="3"/>
      <c r="K120" s="3"/>
      <c r="L120" s="3"/>
    </row>
    <row r="121" spans="1:12" s="84" customFormat="1" ht="15.95" customHeight="1">
      <c r="A121" s="3"/>
      <c r="B121" s="3"/>
      <c r="C121" s="3"/>
      <c r="D121" s="3"/>
      <c r="E121" s="3"/>
      <c r="F121" s="3"/>
      <c r="G121" s="3"/>
      <c r="H121" s="3"/>
      <c r="I121" s="3"/>
      <c r="J121" s="3"/>
      <c r="K121" s="3"/>
      <c r="L121" s="3"/>
    </row>
    <row r="122" spans="1:12" s="84" customFormat="1" ht="15.95" customHeight="1">
      <c r="A122" s="3"/>
      <c r="B122" s="3"/>
      <c r="C122" s="3"/>
      <c r="D122" s="3"/>
      <c r="E122" s="3"/>
      <c r="F122" s="3"/>
      <c r="G122" s="3"/>
      <c r="H122" s="3"/>
      <c r="I122" s="3"/>
      <c r="J122" s="3"/>
      <c r="K122" s="3"/>
      <c r="L122" s="3"/>
    </row>
    <row r="123" spans="1:12" s="84" customFormat="1" ht="15.95" customHeight="1">
      <c r="A123" s="3"/>
      <c r="B123" s="3"/>
      <c r="C123" s="3"/>
      <c r="D123" s="3"/>
      <c r="E123" s="3"/>
      <c r="F123" s="3"/>
      <c r="G123" s="3"/>
      <c r="H123" s="3"/>
      <c r="I123" s="3"/>
      <c r="J123" s="3"/>
      <c r="K123" s="3"/>
      <c r="L123" s="3"/>
    </row>
    <row r="124" spans="1:12" s="84" customFormat="1" ht="15.95" customHeight="1">
      <c r="A124" s="3"/>
      <c r="B124" s="3"/>
      <c r="C124" s="3"/>
      <c r="D124" s="3"/>
      <c r="E124" s="3"/>
      <c r="F124" s="3"/>
      <c r="G124" s="3"/>
      <c r="H124" s="3"/>
      <c r="I124" s="3"/>
      <c r="J124" s="3"/>
      <c r="K124" s="3"/>
      <c r="L124" s="3"/>
    </row>
    <row r="125" spans="1:12" s="84" customFormat="1" ht="15.95" customHeight="1">
      <c r="A125" s="3"/>
      <c r="B125" s="3"/>
      <c r="C125" s="3"/>
      <c r="D125" s="3"/>
      <c r="E125" s="3"/>
      <c r="F125" s="3"/>
      <c r="G125" s="3"/>
      <c r="H125" s="3"/>
      <c r="I125" s="3"/>
      <c r="J125" s="3"/>
      <c r="K125" s="3"/>
      <c r="L125" s="3"/>
    </row>
  </sheetData>
  <sheetProtection algorithmName="SHA-512" hashValue="QR9H/C4Xpvx0C+is1MBya1xtjIIz0khz751DjjpQvBpatzpndOPqeKpeKP7pUQqL+wBsbFxe6dAYZCsau4X0vw==" saltValue="W3qDu8kUtu/QQLu+Q/CPDg==" spinCount="100000" sheet="1" objects="1" scenarios="1"/>
  <mergeCells count="9">
    <mergeCell ref="T16:U16"/>
    <mergeCell ref="R4:S4"/>
    <mergeCell ref="T4:U4"/>
    <mergeCell ref="A39:B39"/>
    <mergeCell ref="A47:B47"/>
    <mergeCell ref="A1:B1"/>
    <mergeCell ref="A3:B3"/>
    <mergeCell ref="A15:B15"/>
    <mergeCell ref="R16:S16"/>
  </mergeCells>
  <printOptions horizontalCentered="1"/>
  <pageMargins left="0.39370078740157483" right="0.39370078740157483" top="0.78740157480314965" bottom="0.23622047244094491" header="0.39370078740157483" footer="0.19685039370078741"/>
  <pageSetup paperSize="9" scale="60" fitToWidth="0" fitToHeight="0" orientation="landscape" horizontalDpi="1200" verticalDpi="1200" r:id="rId1"/>
  <headerFooter>
    <oddHeader>&amp;L&amp;G&amp;C&amp;"Arial,Bold"
&amp;14PROJETO DE SERVIÇOS DE I&amp;&amp;D E CONSULTORIA</oddHeader>
  </headerFooter>
  <drawing r:id="rId2"/>
  <legacyDrawingHF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pageSetUpPr fitToPage="1"/>
  </sheetPr>
  <dimension ref="A1:W158"/>
  <sheetViews>
    <sheetView showGridLines="0" zoomScaleNormal="100" workbookViewId="0">
      <pane ySplit="2" topLeftCell="A20" activePane="bottomLeft" state="frozen"/>
      <selection pane="bottomLeft" activeCell="J6" sqref="J6"/>
      <selection sqref="A1:B1"/>
    </sheetView>
  </sheetViews>
  <sheetFormatPr defaultColWidth="9.140625" defaultRowHeight="14.1"/>
  <cols>
    <col min="1" max="1" width="11" style="55" hidden="1" customWidth="1"/>
    <col min="2" max="2" width="7.5703125" style="55" hidden="1" customWidth="1"/>
    <col min="3" max="3" width="53.5703125" style="55" customWidth="1"/>
    <col min="4" max="6" width="13.5703125" style="3" customWidth="1"/>
    <col min="7" max="10" width="13.5703125" style="4" customWidth="1"/>
    <col min="11" max="11" width="1.5703125" style="304" customWidth="1"/>
    <col min="12" max="12" width="4.5703125" style="378" customWidth="1"/>
    <col min="13" max="13" width="26.42578125" style="3" customWidth="1"/>
    <col min="14" max="14" width="12" style="5" customWidth="1"/>
    <col min="15" max="18" width="9.5703125" style="5" customWidth="1"/>
    <col min="19" max="20" width="9.140625" style="3" customWidth="1"/>
    <col min="21" max="16384" width="9.140625" style="3"/>
  </cols>
  <sheetData>
    <row r="1" spans="1:18" ht="24" customHeight="1">
      <c r="A1" s="235" t="b">
        <v>0</v>
      </c>
      <c r="B1" s="574" t="s">
        <v>98</v>
      </c>
      <c r="C1" s="87" t="s">
        <v>99</v>
      </c>
      <c r="L1" s="181" t="str">
        <f>IF(COUNTIFS(L$3:L$31,"F")&gt;0,"F","V")</f>
        <v>V</v>
      </c>
      <c r="M1"/>
    </row>
    <row r="2" spans="1:18" s="324" customFormat="1" ht="30" customHeight="1">
      <c r="A2" s="449">
        <f>IF(LEN($D$20)&gt;1,1,0)  +  IF(LEN($D$22)&gt;1,1,0)  +   IF(LEN($D$24)&gt;1,1,0)  +  IF(LEN($D$26)&gt;1,1,0)  +  IF(LEN($D$28)&gt;1,1,0)</f>
        <v>1</v>
      </c>
      <c r="B2" s="574"/>
      <c r="C2" s="575" t="s">
        <v>100</v>
      </c>
      <c r="D2" s="575"/>
      <c r="E2" s="575"/>
      <c r="F2" s="575"/>
      <c r="G2" s="575"/>
      <c r="H2" s="575"/>
      <c r="I2" s="575"/>
      <c r="J2" s="575"/>
      <c r="K2" s="488"/>
      <c r="L2" s="379"/>
      <c r="N2" s="325"/>
      <c r="O2" s="325"/>
      <c r="P2" s="325"/>
      <c r="Q2" s="325"/>
      <c r="R2" s="325"/>
    </row>
    <row r="3" spans="1:18" s="78" customFormat="1" ht="9.9499999999999993" customHeight="1">
      <c r="A3" s="78" t="s">
        <v>101</v>
      </c>
      <c r="B3" s="78" t="s">
        <v>102</v>
      </c>
      <c r="D3" s="78" t="s">
        <v>51</v>
      </c>
      <c r="E3" s="78" t="s">
        <v>103</v>
      </c>
      <c r="H3" s="78" t="s">
        <v>104</v>
      </c>
      <c r="J3" s="78" t="s">
        <v>105</v>
      </c>
      <c r="K3" s="78" t="s">
        <v>106</v>
      </c>
      <c r="L3" s="247"/>
    </row>
    <row r="4" spans="1:18" ht="24" customHeight="1">
      <c r="A4" s="248"/>
      <c r="B4" s="249"/>
      <c r="C4" s="578" t="s">
        <v>107</v>
      </c>
      <c r="D4" s="578"/>
      <c r="E4" s="578"/>
      <c r="F4" s="578"/>
      <c r="G4" s="578"/>
      <c r="H4" s="578"/>
      <c r="I4" s="578"/>
      <c r="J4" s="578"/>
      <c r="L4" s="380"/>
      <c r="M4"/>
      <c r="N4" s="423"/>
      <c r="O4" s="100"/>
      <c r="P4" s="100"/>
      <c r="Q4" s="100"/>
    </row>
    <row r="5" spans="1:18" customFormat="1" ht="15.95" customHeight="1">
      <c r="A5" s="55" t="s">
        <v>108</v>
      </c>
      <c r="B5" s="249"/>
      <c r="C5" s="249"/>
      <c r="E5" s="59"/>
      <c r="K5" s="201"/>
      <c r="L5" s="380"/>
      <c r="N5" s="423"/>
      <c r="O5" s="100"/>
      <c r="P5" s="100"/>
      <c r="Q5" s="100"/>
      <c r="R5" s="100"/>
    </row>
    <row r="6" spans="1:18" ht="15.95" customHeight="1">
      <c r="A6" s="55" t="s">
        <v>109</v>
      </c>
      <c r="B6" s="55">
        <f>IF(AND(LEN($D6)&gt;0,LEN($H6)&gt;0,LEN($J6)&gt;0),1,0)</f>
        <v>1</v>
      </c>
      <c r="C6" s="24" t="s">
        <v>110</v>
      </c>
      <c r="D6" s="573" t="s">
        <v>111</v>
      </c>
      <c r="E6" s="573"/>
      <c r="F6" s="573"/>
      <c r="G6" s="24" t="s">
        <v>112</v>
      </c>
      <c r="H6" s="548">
        <v>45954</v>
      </c>
      <c r="I6" s="24" t="s">
        <v>113</v>
      </c>
      <c r="J6" s="549" t="s">
        <v>114</v>
      </c>
      <c r="K6" s="201"/>
      <c r="L6" s="181" t="str">
        <f>IF($B6=1,"V",IF($B6=0,"F",""))</f>
        <v>V</v>
      </c>
    </row>
    <row r="7" spans="1:18" ht="6" customHeight="1">
      <c r="B7" s="249"/>
      <c r="C7" s="4"/>
      <c r="D7" s="4"/>
      <c r="F7" s="4"/>
      <c r="G7" s="3"/>
      <c r="H7" s="3"/>
      <c r="I7" s="3"/>
      <c r="J7" s="3"/>
      <c r="K7" s="201"/>
      <c r="L7" s="380"/>
    </row>
    <row r="8" spans="1:18" ht="54" customHeight="1">
      <c r="A8" s="55" t="s">
        <v>115</v>
      </c>
      <c r="B8" s="55">
        <f>IF(LEN($D8)&gt;0,1,0)</f>
        <v>1</v>
      </c>
      <c r="C8" s="24" t="s">
        <v>116</v>
      </c>
      <c r="D8" s="579" t="s">
        <v>117</v>
      </c>
      <c r="E8" s="579"/>
      <c r="F8" s="579"/>
      <c r="G8" s="579"/>
      <c r="H8" s="579"/>
      <c r="I8" s="579"/>
      <c r="J8" s="579"/>
      <c r="K8" s="201"/>
      <c r="L8" s="181" t="str">
        <f>IF($B8=1,"V",IF($B8=0,"F",""))</f>
        <v>V</v>
      </c>
    </row>
    <row r="9" spans="1:18" ht="6" customHeight="1">
      <c r="B9" s="249"/>
      <c r="C9" s="4"/>
      <c r="D9" s="4"/>
      <c r="F9" s="4"/>
      <c r="G9" s="3"/>
      <c r="H9" s="3"/>
      <c r="I9" s="3"/>
      <c r="J9" s="3"/>
      <c r="K9" s="201"/>
      <c r="L9" s="380"/>
    </row>
    <row r="10" spans="1:18" s="197" customFormat="1" ht="15.95" customHeight="1">
      <c r="A10" s="55" t="s">
        <v>118</v>
      </c>
      <c r="B10" s="55">
        <f>IF(LEN($D10)&gt;0,1,0)</f>
        <v>1</v>
      </c>
      <c r="C10" s="24" t="s">
        <v>119</v>
      </c>
      <c r="D10" s="573" t="s">
        <v>120</v>
      </c>
      <c r="E10" s="573"/>
      <c r="F10" s="573"/>
      <c r="J10" s="3"/>
      <c r="L10" s="181" t="str">
        <f>IF($B10=1,"V",IF($B10=0,"F",""))</f>
        <v>V</v>
      </c>
      <c r="N10" s="198"/>
      <c r="O10" s="5"/>
      <c r="P10" s="198"/>
      <c r="Q10" s="198"/>
      <c r="R10" s="198"/>
    </row>
    <row r="11" spans="1:18" s="197" customFormat="1" ht="15.95" customHeight="1">
      <c r="A11" s="55"/>
      <c r="B11" s="78"/>
      <c r="C11" s="196"/>
      <c r="D11" s="196"/>
      <c r="J11" s="3"/>
      <c r="L11" s="380"/>
      <c r="N11" s="198"/>
      <c r="O11" s="5"/>
      <c r="P11" s="198"/>
      <c r="Q11" s="198"/>
      <c r="R11" s="198"/>
    </row>
    <row r="12" spans="1:18" ht="15.95" customHeight="1">
      <c r="A12" s="55" t="s">
        <v>121</v>
      </c>
      <c r="B12" s="55">
        <f>IF(LEN($D12)&gt;0,1,0)</f>
        <v>1</v>
      </c>
      <c r="C12" s="24" t="s">
        <v>122</v>
      </c>
      <c r="D12" s="573" t="s">
        <v>123</v>
      </c>
      <c r="E12" s="573"/>
      <c r="F12" s="573"/>
      <c r="G12" s="197"/>
      <c r="H12" s="197"/>
      <c r="I12" s="197"/>
      <c r="J12" s="3"/>
      <c r="L12" s="181" t="str">
        <f>IF($B12=1,"V",IF($B12=0,"F",""))</f>
        <v>V</v>
      </c>
    </row>
    <row r="13" spans="1:18" ht="6" customHeight="1">
      <c r="C13" s="4"/>
      <c r="D13" s="4"/>
      <c r="G13" s="3"/>
      <c r="H13" s="3"/>
      <c r="I13" s="3"/>
      <c r="J13" s="3"/>
      <c r="K13" s="197"/>
      <c r="L13" s="380"/>
    </row>
    <row r="14" spans="1:18" ht="15.95" customHeight="1">
      <c r="C14" s="24" t="s">
        <v>124</v>
      </c>
      <c r="D14" s="573" t="s">
        <v>125</v>
      </c>
      <c r="E14" s="573"/>
      <c r="F14" s="573"/>
      <c r="H14" s="24" t="s">
        <v>126</v>
      </c>
      <c r="I14" s="576" t="s">
        <v>127</v>
      </c>
      <c r="J14" s="577"/>
      <c r="L14" s="181"/>
    </row>
    <row r="15" spans="1:18" ht="15.95" customHeight="1">
      <c r="D15" s="4"/>
      <c r="E15" s="4"/>
      <c r="G15" s="3"/>
      <c r="H15" s="3"/>
      <c r="I15" s="3"/>
      <c r="J15" s="3"/>
      <c r="K15" s="197"/>
      <c r="L15" s="380"/>
    </row>
    <row r="16" spans="1:18" ht="24" customHeight="1">
      <c r="B16" s="248"/>
      <c r="C16" s="578" t="s">
        <v>128</v>
      </c>
      <c r="D16" s="578"/>
      <c r="E16" s="578"/>
      <c r="F16" s="578"/>
      <c r="G16" s="578"/>
      <c r="H16" s="578"/>
      <c r="I16" s="578"/>
      <c r="J16" s="578"/>
      <c r="L16" s="378" t="s">
        <v>129</v>
      </c>
      <c r="M16"/>
      <c r="N16" s="423"/>
      <c r="O16" s="100"/>
      <c r="P16" s="100"/>
      <c r="Q16" s="100"/>
    </row>
    <row r="17" spans="1:23" ht="15.95" customHeight="1">
      <c r="D17" s="4"/>
      <c r="E17" s="4"/>
      <c r="F17" s="24"/>
      <c r="G17" s="3"/>
      <c r="H17" s="3"/>
      <c r="I17" s="24"/>
      <c r="J17" s="3"/>
      <c r="K17" s="197"/>
    </row>
    <row r="18" spans="1:23" ht="15.95" customHeight="1">
      <c r="A18" s="55" t="s">
        <v>130</v>
      </c>
      <c r="B18" s="55">
        <f>IF(AND(LEN(Inicio)&gt;2,LEN(Fim)&gt;2,Inicio&lt;Fim),1,0)</f>
        <v>1</v>
      </c>
      <c r="C18" s="24" t="s">
        <v>131</v>
      </c>
      <c r="D18" s="24" t="s">
        <v>132</v>
      </c>
      <c r="E18" s="548">
        <v>46023</v>
      </c>
      <c r="F18" s="24" t="s">
        <v>133</v>
      </c>
      <c r="G18" s="548">
        <v>46368</v>
      </c>
      <c r="I18" s="24" t="s">
        <v>134</v>
      </c>
      <c r="J18" s="441">
        <f>IFERROR(IF(OR(LEN(Inicio)&lt;1,LEN(Fim)&lt;1),0,ROUND((Fim-Inicio)/365*12,1)),0)</f>
        <v>11.3</v>
      </c>
      <c r="L18" s="181" t="str">
        <f>IF($B18=1,"V",IF($B18=0,"F",""))</f>
        <v>V</v>
      </c>
    </row>
    <row r="19" spans="1:23" ht="15.95" customHeight="1">
      <c r="C19" s="4"/>
      <c r="E19" s="4"/>
      <c r="G19" s="3"/>
      <c r="H19" s="3"/>
      <c r="I19" s="421"/>
      <c r="J19" s="3"/>
      <c r="K19" s="197"/>
    </row>
    <row r="20" spans="1:23" ht="15.95" customHeight="1">
      <c r="A20" s="55" t="s">
        <v>135</v>
      </c>
      <c r="B20" s="55">
        <f>IF(OR(LEN($D20)&lt;1,LEN(Resp_Proj)&lt;1),0,IF(AND(LEN($J20)&lt;1,$A$1),0,1))</f>
        <v>1</v>
      </c>
      <c r="C20" s="24" t="s">
        <v>136</v>
      </c>
      <c r="D20" s="187" t="s">
        <v>137</v>
      </c>
      <c r="E20" s="24" t="s">
        <v>138</v>
      </c>
      <c r="F20" s="560" t="s">
        <v>139</v>
      </c>
      <c r="G20" s="560"/>
      <c r="H20" s="560"/>
      <c r="I20" s="309" t="s">
        <v>140</v>
      </c>
      <c r="J20" s="187"/>
      <c r="L20" s="181" t="str">
        <f>IF($B20=1,"V",IF($B20=0,"F",""))</f>
        <v>V</v>
      </c>
      <c r="M20" s="569" t="s">
        <v>141</v>
      </c>
      <c r="N20" s="424" t="str">
        <f>IFERROR(IF(AND($A$1,LEN($D20)&gt;1,LEN($J20)&lt;1),VLOOKUP($D20,Parametros_Orcam!$A$61:$B$85,2,0),""),"")</f>
        <v/>
      </c>
    </row>
    <row r="21" spans="1:23" ht="6" customHeight="1">
      <c r="C21" s="4"/>
      <c r="D21" s="4"/>
      <c r="E21" s="24"/>
      <c r="G21" s="3"/>
      <c r="H21" s="3"/>
      <c r="I21" s="309"/>
      <c r="J21" s="3"/>
      <c r="K21" s="197"/>
      <c r="M21" s="570"/>
      <c r="N21" s="3"/>
      <c r="O21" s="3"/>
      <c r="P21" s="3"/>
    </row>
    <row r="22" spans="1:23" ht="15.95" customHeight="1">
      <c r="A22" s="55" t="s">
        <v>142</v>
      </c>
      <c r="B22" s="55" t="str">
        <f>IF(LEN($D22)&lt;1,"",IF(OR(LEN(Resp1)&lt;1,AND(LEN($J22)&lt;1,$A$1)),0,1))</f>
        <v/>
      </c>
      <c r="C22" s="24" t="s">
        <v>143</v>
      </c>
      <c r="D22" s="187"/>
      <c r="E22" s="24" t="s">
        <v>144</v>
      </c>
      <c r="F22" s="560"/>
      <c r="G22" s="560"/>
      <c r="H22" s="560"/>
      <c r="I22" s="309" t="s">
        <v>145</v>
      </c>
      <c r="J22" s="187"/>
      <c r="L22" s="181" t="str">
        <f>IF($B22=1,"V",IF($B22=0,"F",""))</f>
        <v/>
      </c>
      <c r="M22" s="570"/>
      <c r="N22" s="425" t="str">
        <f>IFERROR(IF(AND($A$1,LEN($D22)&gt;1,LEN($J22)&lt;1),VLOOKUP($D22,Parametros_Orcam!$A$61:$B$85,2,0),""),"")</f>
        <v/>
      </c>
    </row>
    <row r="23" spans="1:23" ht="6" customHeight="1">
      <c r="C23" s="3"/>
      <c r="D23" s="4"/>
      <c r="G23" s="3"/>
      <c r="H23" s="3"/>
      <c r="I23" s="309"/>
      <c r="J23" s="3"/>
      <c r="K23" s="197"/>
      <c r="M23" s="570"/>
      <c r="N23" s="3"/>
      <c r="O23" s="3"/>
      <c r="P23" s="3"/>
    </row>
    <row r="24" spans="1:23" ht="15.95" customHeight="1">
      <c r="A24" s="55" t="s">
        <v>146</v>
      </c>
      <c r="B24" s="55" t="str">
        <f>IF(LEN($D24)&lt;1,"",IF(OR(LEN(Resp2)&lt;1,AND(LEN($J24)&lt;1,$A$1)),0,1))</f>
        <v/>
      </c>
      <c r="C24" s="24" t="s">
        <v>147</v>
      </c>
      <c r="D24" s="187"/>
      <c r="E24" s="24" t="s">
        <v>148</v>
      </c>
      <c r="F24" s="560"/>
      <c r="G24" s="560"/>
      <c r="H24" s="560"/>
      <c r="I24" s="309" t="s">
        <v>149</v>
      </c>
      <c r="J24" s="187"/>
      <c r="L24" s="181" t="str">
        <f>IF($B24=1,"V",IF($B24=0,"F",""))</f>
        <v/>
      </c>
      <c r="M24" s="570"/>
      <c r="N24" s="425" t="str">
        <f>IFERROR(IF(AND($A$1,LEN($D24)&gt;1,LEN($J24)&lt;1),VLOOKUP($D24,Parametros_Orcam!$A$61:$B$85,2,0),""),"")</f>
        <v/>
      </c>
    </row>
    <row r="25" spans="1:23" ht="6" customHeight="1">
      <c r="C25" s="4"/>
      <c r="D25" s="4"/>
      <c r="E25" s="24"/>
      <c r="G25" s="3"/>
      <c r="H25" s="3"/>
      <c r="I25" s="309"/>
      <c r="J25" s="3"/>
      <c r="K25" s="197"/>
      <c r="M25" s="570"/>
      <c r="N25" s="3"/>
      <c r="O25" s="3"/>
      <c r="P25" s="3"/>
    </row>
    <row r="26" spans="1:23" ht="15.95" customHeight="1">
      <c r="A26" s="55" t="s">
        <v>150</v>
      </c>
      <c r="B26" s="55" t="str">
        <f>IF(LEN($D26)&lt;1,"",IF(OR(LEN(Resp3)&lt;1,AND(LEN($J26)&lt;1,$A$1)),0,1))</f>
        <v/>
      </c>
      <c r="C26" s="24" t="s">
        <v>151</v>
      </c>
      <c r="D26" s="187"/>
      <c r="E26" s="24" t="s">
        <v>152</v>
      </c>
      <c r="F26" s="560"/>
      <c r="G26" s="560"/>
      <c r="H26" s="560"/>
      <c r="I26" s="309" t="s">
        <v>153</v>
      </c>
      <c r="J26" s="187"/>
      <c r="L26" s="181" t="str">
        <f>IF($B26=1,"V",IF($B26=0,"F",""))</f>
        <v/>
      </c>
      <c r="M26" s="570"/>
      <c r="N26" s="425" t="str">
        <f>IFERROR(IF(AND($A$1,LEN($D26)&gt;1,LEN($J26)&lt;1),VLOOKUP($D26,Parametros_Orcam!$A$61:$B$85,2,0),""),"")</f>
        <v/>
      </c>
    </row>
    <row r="27" spans="1:23" ht="6" customHeight="1">
      <c r="C27" s="4"/>
      <c r="D27" s="4"/>
      <c r="E27" s="24"/>
      <c r="G27" s="3"/>
      <c r="H27" s="3"/>
      <c r="I27" s="309"/>
      <c r="J27" s="3"/>
      <c r="K27" s="197"/>
      <c r="M27" s="570"/>
      <c r="N27" s="3"/>
      <c r="O27" s="3"/>
      <c r="P27" s="3"/>
    </row>
    <row r="28" spans="1:23" ht="15.95" customHeight="1">
      <c r="A28" s="55" t="s">
        <v>154</v>
      </c>
      <c r="B28" s="55" t="str">
        <f>IF(LEN($D28)&lt;1,"",IF(OR(LEN(Resp4)&lt;1,AND(LEN($J28)&lt;1,$A$1)),0,1))</f>
        <v/>
      </c>
      <c r="C28" s="24" t="s">
        <v>155</v>
      </c>
      <c r="D28" s="187"/>
      <c r="E28" s="24" t="s">
        <v>156</v>
      </c>
      <c r="F28" s="560"/>
      <c r="G28" s="560"/>
      <c r="H28" s="560"/>
      <c r="I28" s="309" t="s">
        <v>157</v>
      </c>
      <c r="J28" s="187"/>
      <c r="L28" s="181" t="str">
        <f>IF($B28=1,"V",IF($B28=0,"F",""))</f>
        <v/>
      </c>
      <c r="M28" s="571"/>
      <c r="N28" s="426" t="str">
        <f>IFERROR(IF(AND($A$1,LEN($D28)&gt;1,LEN($J28)&lt;1),VLOOKUP($D28,Parametros_Orcam!$A$61:$B$85,2,0),""),"")</f>
        <v/>
      </c>
    </row>
    <row r="29" spans="1:23" ht="15.95" customHeight="1">
      <c r="C29" s="4"/>
      <c r="E29" s="4"/>
      <c r="F29" s="24"/>
      <c r="G29" s="3"/>
      <c r="H29" s="3"/>
      <c r="I29" s="24"/>
      <c r="J29" s="3"/>
      <c r="K29" s="197"/>
    </row>
    <row r="30" spans="1:23" ht="15.95" customHeight="1">
      <c r="A30" s="55" t="s">
        <v>158</v>
      </c>
      <c r="C30" s="24" t="s">
        <v>159</v>
      </c>
      <c r="D30" s="573" t="s">
        <v>127</v>
      </c>
      <c r="E30" s="573"/>
      <c r="G30" s="309" t="s">
        <v>160</v>
      </c>
      <c r="H30" s="3"/>
      <c r="I30" s="24" t="s">
        <v>161</v>
      </c>
      <c r="J30" s="187"/>
      <c r="L30" s="232" t="s">
        <v>162</v>
      </c>
    </row>
    <row r="31" spans="1:23" ht="15.95" customHeight="1">
      <c r="A31" s="340"/>
      <c r="D31" s="4"/>
      <c r="E31" s="4"/>
      <c r="F31" s="24"/>
      <c r="G31" s="3"/>
      <c r="H31" s="3"/>
      <c r="I31" s="24"/>
      <c r="J31" s="3"/>
      <c r="K31" s="197"/>
    </row>
    <row r="32" spans="1:23" ht="24" customHeight="1">
      <c r="B32" s="3"/>
      <c r="C32" s="556" t="s">
        <v>163</v>
      </c>
      <c r="D32" s="556"/>
      <c r="E32" s="556"/>
      <c r="F32" s="556"/>
      <c r="G32" s="556"/>
      <c r="H32" s="556"/>
      <c r="I32" s="556"/>
      <c r="J32" s="556"/>
      <c r="K32" s="192"/>
      <c r="L32" s="181"/>
      <c r="M32" s="564"/>
      <c r="N32" s="564"/>
      <c r="O32" s="564"/>
      <c r="P32" s="564"/>
      <c r="Q32" s="3"/>
      <c r="R32" s="3"/>
      <c r="U32"/>
      <c r="V32"/>
      <c r="W32"/>
    </row>
    <row r="33" spans="1:23" ht="9" customHeight="1">
      <c r="B33" s="3"/>
      <c r="C33" s="3"/>
      <c r="G33" s="3"/>
      <c r="H33" s="3"/>
      <c r="I33" s="3"/>
      <c r="J33" s="3"/>
      <c r="K33" s="197"/>
      <c r="L33" s="181"/>
      <c r="M33" s="5"/>
      <c r="N33" s="3"/>
      <c r="O33" s="3"/>
      <c r="P33" s="3"/>
      <c r="Q33" s="3"/>
      <c r="R33" s="3"/>
      <c r="U33"/>
      <c r="V33"/>
      <c r="W33"/>
    </row>
    <row r="34" spans="1:23" ht="15.95" customHeight="1">
      <c r="B34" s="3"/>
      <c r="C34" s="568" t="s">
        <v>164</v>
      </c>
      <c r="D34" s="567" t="s">
        <v>165</v>
      </c>
      <c r="E34" s="565" t="s">
        <v>166</v>
      </c>
      <c r="F34" s="566"/>
      <c r="G34" s="572" t="s">
        <v>167</v>
      </c>
      <c r="H34" s="565" t="s">
        <v>168</v>
      </c>
      <c r="I34" s="566"/>
      <c r="J34" s="567"/>
      <c r="K34" s="197"/>
      <c r="L34" s="181"/>
      <c r="N34" s="3"/>
      <c r="O34" s="3"/>
      <c r="P34" s="3"/>
      <c r="Q34" s="3"/>
      <c r="R34" s="3"/>
      <c r="U34" s="56"/>
      <c r="V34" s="56"/>
      <c r="W34" s="56"/>
    </row>
    <row r="35" spans="1:23" ht="15.95" customHeight="1">
      <c r="A35" s="55" t="s">
        <v>169</v>
      </c>
      <c r="B35" s="22"/>
      <c r="C35" s="568"/>
      <c r="D35" s="567"/>
      <c r="E35" s="191" t="s">
        <v>170</v>
      </c>
      <c r="F35" s="276" t="s">
        <v>171</v>
      </c>
      <c r="G35" s="572"/>
      <c r="H35" s="191" t="s">
        <v>172</v>
      </c>
      <c r="I35" s="276" t="s">
        <v>173</v>
      </c>
      <c r="J35" s="278" t="s">
        <v>174</v>
      </c>
      <c r="K35" s="197"/>
      <c r="L35" s="181"/>
      <c r="N35" s="3"/>
      <c r="O35" s="3"/>
      <c r="P35" s="3"/>
      <c r="Q35" s="3"/>
      <c r="R35" s="3"/>
      <c r="U35"/>
      <c r="V35"/>
      <c r="W35"/>
    </row>
    <row r="36" spans="1:23" ht="15.95" customHeight="1">
      <c r="A36" s="476">
        <f t="shared" ref="A36:A41" si="0">VLOOKUP($D36,Precos_Ref,3,0)</f>
        <v>15700</v>
      </c>
      <c r="B36" s="3"/>
      <c r="C36" s="416" t="s">
        <v>175</v>
      </c>
      <c r="D36" s="420" t="s">
        <v>176</v>
      </c>
      <c r="E36" s="36">
        <f t="shared" ref="E36:E41" si="1">VLOOKUP($D36,Precos_Ref,2,0)</f>
        <v>14300</v>
      </c>
      <c r="F36" s="36">
        <f t="shared" ref="F36:F41" si="2">VLOOKUP($D36,Precos_Ref,4,0)</f>
        <v>20000</v>
      </c>
      <c r="G36" s="36">
        <f>95*7.2*20</f>
        <v>13680</v>
      </c>
      <c r="H36" s="104">
        <v>15700</v>
      </c>
      <c r="I36" s="97">
        <f t="shared" ref="I36:I41" si="3">H36/20</f>
        <v>785</v>
      </c>
      <c r="J36" s="97">
        <f t="shared" ref="J36:J41" si="4">I36/7.2</f>
        <v>109.02777777777777</v>
      </c>
      <c r="K36" s="197"/>
      <c r="L36" s="181"/>
      <c r="M36" s="359"/>
      <c r="N36" s="3"/>
      <c r="O36" s="3"/>
      <c r="P36" s="3"/>
      <c r="Q36" s="3"/>
      <c r="R36" s="3"/>
      <c r="U36"/>
      <c r="V36"/>
      <c r="W36"/>
    </row>
    <row r="37" spans="1:23" ht="15.95" customHeight="1">
      <c r="A37" s="476">
        <f t="shared" si="0"/>
        <v>12900</v>
      </c>
      <c r="B37" s="3"/>
      <c r="C37" s="416" t="s">
        <v>177</v>
      </c>
      <c r="D37" s="420" t="s">
        <v>178</v>
      </c>
      <c r="E37" s="36">
        <f t="shared" si="1"/>
        <v>11700</v>
      </c>
      <c r="F37" s="36">
        <f t="shared" si="2"/>
        <v>14000</v>
      </c>
      <c r="G37" s="36">
        <f>85*7.2*20</f>
        <v>12240</v>
      </c>
      <c r="H37" s="104">
        <v>12900</v>
      </c>
      <c r="I37" s="97">
        <f t="shared" si="3"/>
        <v>645</v>
      </c>
      <c r="J37" s="97">
        <f t="shared" si="4"/>
        <v>89.583333333333329</v>
      </c>
      <c r="K37" s="197"/>
      <c r="L37" s="181"/>
      <c r="M37" s="359"/>
      <c r="N37" s="3"/>
      <c r="O37" s="3"/>
      <c r="P37" s="3"/>
      <c r="Q37" s="3"/>
      <c r="R37" s="3"/>
      <c r="U37"/>
      <c r="V37"/>
      <c r="W37"/>
    </row>
    <row r="38" spans="1:23" ht="15.95" customHeight="1">
      <c r="A38" s="476">
        <f t="shared" si="0"/>
        <v>10600</v>
      </c>
      <c r="B38" s="3"/>
      <c r="C38" s="416" t="s">
        <v>179</v>
      </c>
      <c r="D38" s="420" t="s">
        <v>180</v>
      </c>
      <c r="E38" s="36">
        <f t="shared" si="1"/>
        <v>9600</v>
      </c>
      <c r="F38" s="36">
        <f t="shared" si="2"/>
        <v>11500</v>
      </c>
      <c r="G38" s="36">
        <f>85*7.2*20</f>
        <v>12240</v>
      </c>
      <c r="H38" s="104">
        <v>10600</v>
      </c>
      <c r="I38" s="97">
        <f t="shared" si="3"/>
        <v>530</v>
      </c>
      <c r="J38" s="97">
        <f t="shared" si="4"/>
        <v>73.611111111111114</v>
      </c>
      <c r="K38" s="197"/>
      <c r="L38" s="181"/>
      <c r="M38" s="359"/>
      <c r="N38" s="3"/>
      <c r="O38" s="3"/>
      <c r="P38" s="3"/>
      <c r="Q38" s="3"/>
      <c r="R38" s="3"/>
      <c r="U38"/>
      <c r="V38"/>
      <c r="W38"/>
    </row>
    <row r="39" spans="1:23" ht="15.95" customHeight="1">
      <c r="A39" s="476">
        <f t="shared" si="0"/>
        <v>8700</v>
      </c>
      <c r="B39" s="3"/>
      <c r="C39" s="416" t="s">
        <v>181</v>
      </c>
      <c r="D39" s="420" t="s">
        <v>182</v>
      </c>
      <c r="E39" s="36">
        <f t="shared" si="1"/>
        <v>7900</v>
      </c>
      <c r="F39" s="36">
        <f t="shared" si="2"/>
        <v>9500</v>
      </c>
      <c r="G39" s="36">
        <f>60*7.2*20</f>
        <v>8640</v>
      </c>
      <c r="H39" s="104">
        <v>8700</v>
      </c>
      <c r="I39" s="97">
        <f t="shared" si="3"/>
        <v>435</v>
      </c>
      <c r="J39" s="97">
        <f t="shared" si="4"/>
        <v>60.416666666666664</v>
      </c>
      <c r="K39" s="197"/>
      <c r="L39" s="181"/>
      <c r="M39" s="359"/>
      <c r="N39" s="3"/>
      <c r="O39" s="3"/>
      <c r="P39" s="3"/>
      <c r="Q39" s="3"/>
      <c r="R39" s="3"/>
      <c r="U39"/>
      <c r="V39"/>
      <c r="W39"/>
    </row>
    <row r="40" spans="1:23" ht="15.95" customHeight="1">
      <c r="A40" s="476">
        <f t="shared" si="0"/>
        <v>7200</v>
      </c>
      <c r="B40" s="3"/>
      <c r="C40" s="416" t="s">
        <v>183</v>
      </c>
      <c r="D40" s="420" t="s">
        <v>184</v>
      </c>
      <c r="E40" s="36">
        <f t="shared" si="1"/>
        <v>6500</v>
      </c>
      <c r="F40" s="36">
        <f t="shared" si="2"/>
        <v>7800</v>
      </c>
      <c r="G40" s="36">
        <f>45*7.2*20</f>
        <v>6480</v>
      </c>
      <c r="H40" s="104">
        <v>7200</v>
      </c>
      <c r="I40" s="97">
        <f t="shared" si="3"/>
        <v>360</v>
      </c>
      <c r="J40" s="97">
        <f t="shared" si="4"/>
        <v>50</v>
      </c>
      <c r="K40" s="197"/>
      <c r="L40" s="181"/>
      <c r="M40" s="359"/>
      <c r="N40" s="3"/>
      <c r="O40" s="204"/>
      <c r="P40" s="3"/>
      <c r="Q40" s="3"/>
      <c r="R40" s="3"/>
      <c r="U40"/>
      <c r="V40"/>
      <c r="W40"/>
    </row>
    <row r="41" spans="1:23" ht="15.95" customHeight="1">
      <c r="A41" s="476">
        <f t="shared" si="0"/>
        <v>5800</v>
      </c>
      <c r="B41" s="3"/>
      <c r="C41" s="416" t="s">
        <v>185</v>
      </c>
      <c r="D41" s="420" t="s">
        <v>186</v>
      </c>
      <c r="E41" s="36">
        <f t="shared" si="1"/>
        <v>5300</v>
      </c>
      <c r="F41" s="36">
        <f t="shared" si="2"/>
        <v>6400</v>
      </c>
      <c r="G41" s="36">
        <f>45*7.2*20</f>
        <v>6480</v>
      </c>
      <c r="H41" s="104">
        <v>5800</v>
      </c>
      <c r="I41" s="97">
        <f t="shared" si="3"/>
        <v>290</v>
      </c>
      <c r="J41" s="97">
        <f t="shared" si="4"/>
        <v>40.277777777777779</v>
      </c>
      <c r="K41" s="197"/>
      <c r="L41" s="181"/>
      <c r="M41" s="359"/>
      <c r="N41" s="3"/>
      <c r="O41" s="204"/>
      <c r="P41" s="3"/>
      <c r="Q41" s="3"/>
      <c r="R41" s="3"/>
      <c r="U41"/>
      <c r="V41"/>
      <c r="W41"/>
    </row>
    <row r="42" spans="1:23" ht="15.95" customHeight="1">
      <c r="D42" s="4"/>
      <c r="E42" s="4"/>
      <c r="G42" s="3"/>
      <c r="H42" s="3"/>
      <c r="I42" s="3"/>
      <c r="J42" s="3"/>
      <c r="K42" s="197"/>
      <c r="L42" s="211"/>
      <c r="M42" s="211"/>
      <c r="N42" s="211"/>
      <c r="O42" s="211"/>
      <c r="P42" s="211"/>
    </row>
    <row r="43" spans="1:23" s="4" customFormat="1" ht="20.100000000000001" customHeight="1">
      <c r="A43" s="55"/>
      <c r="B43" s="55"/>
      <c r="C43" s="234" t="s">
        <v>187</v>
      </c>
      <c r="E43" s="25"/>
      <c r="F43" s="24"/>
      <c r="I43" s="24"/>
      <c r="K43" s="196"/>
      <c r="L43" s="378"/>
      <c r="N43" s="101"/>
      <c r="O43" s="101"/>
      <c r="P43" s="101"/>
      <c r="Q43" s="101"/>
      <c r="R43" s="101"/>
    </row>
    <row r="44" spans="1:23" ht="79.5" customHeight="1">
      <c r="C44" s="561"/>
      <c r="D44" s="562"/>
      <c r="E44" s="562"/>
      <c r="F44" s="562"/>
      <c r="G44" s="562"/>
      <c r="H44" s="562"/>
      <c r="I44" s="562"/>
      <c r="J44" s="563"/>
    </row>
    <row r="45" spans="1:23" ht="15.95" customHeight="1">
      <c r="D45" s="4"/>
      <c r="E45" s="4"/>
      <c r="G45" s="3"/>
      <c r="H45" s="3"/>
      <c r="I45" s="3"/>
      <c r="J45" s="3"/>
      <c r="K45" s="197"/>
    </row>
    <row r="46" spans="1:23" s="4" customFormat="1" ht="20.100000000000001" customHeight="1">
      <c r="A46" s="55"/>
      <c r="B46" s="55"/>
      <c r="C46" s="234" t="s">
        <v>188</v>
      </c>
      <c r="E46" s="25"/>
      <c r="F46" s="24"/>
      <c r="I46" s="24"/>
      <c r="K46" s="196"/>
      <c r="L46" s="378"/>
      <c r="N46" s="101"/>
      <c r="O46" s="101"/>
      <c r="P46" s="101"/>
      <c r="Q46" s="101"/>
      <c r="R46" s="101"/>
    </row>
    <row r="47" spans="1:23" ht="79.5" customHeight="1">
      <c r="A47" s="55" t="s">
        <v>189</v>
      </c>
      <c r="C47" s="561"/>
      <c r="D47" s="562"/>
      <c r="E47" s="562"/>
      <c r="F47" s="562"/>
      <c r="G47" s="562"/>
      <c r="H47" s="562"/>
      <c r="I47" s="562"/>
      <c r="J47" s="563"/>
    </row>
    <row r="48" spans="1:23" s="78" customFormat="1" ht="15.95" customHeight="1">
      <c r="A48" s="78" t="s">
        <v>106</v>
      </c>
      <c r="B48" s="78" t="s">
        <v>190</v>
      </c>
      <c r="C48" s="487" t="s">
        <v>12</v>
      </c>
      <c r="D48" s="78" t="s">
        <v>12</v>
      </c>
      <c r="E48" s="78" t="s">
        <v>12</v>
      </c>
      <c r="F48" s="78" t="s">
        <v>12</v>
      </c>
      <c r="G48" s="78" t="s">
        <v>12</v>
      </c>
      <c r="H48" s="78" t="s">
        <v>12</v>
      </c>
      <c r="J48" s="78" t="s">
        <v>12</v>
      </c>
      <c r="L48" s="247"/>
    </row>
    <row r="49" spans="4:5" ht="15.95" customHeight="1">
      <c r="D49" s="485"/>
      <c r="E49" s="47" t="s">
        <v>191</v>
      </c>
    </row>
    <row r="50" spans="4:5" ht="15.95" customHeight="1"/>
    <row r="51" spans="4:5" ht="15.95" customHeight="1"/>
    <row r="52" spans="4:5" ht="15.95" customHeight="1"/>
    <row r="53" spans="4:5" ht="15.95" customHeight="1"/>
    <row r="54" spans="4:5" ht="15.95" customHeight="1"/>
    <row r="55" spans="4:5" ht="15.95" customHeight="1"/>
    <row r="56" spans="4:5" ht="15.95" customHeight="1"/>
    <row r="57" spans="4:5" ht="15.95" customHeight="1"/>
    <row r="58" spans="4:5" ht="15.95" customHeight="1"/>
    <row r="59" spans="4:5" ht="15.95" customHeight="1"/>
    <row r="60" spans="4:5" ht="15.95" customHeight="1"/>
    <row r="61" spans="4:5" ht="15.95" customHeight="1"/>
    <row r="62" spans="4:5" ht="15.95" customHeight="1"/>
    <row r="63" spans="4:5" ht="15.95" customHeight="1"/>
    <row r="64" spans="4:5" ht="15.95" customHeight="1"/>
    <row r="65" ht="15.95" customHeight="1"/>
    <row r="66" ht="15.95" customHeight="1"/>
    <row r="67" ht="15.95" customHeight="1"/>
    <row r="68" ht="15.95" customHeight="1"/>
    <row r="69" ht="15.95" customHeight="1"/>
    <row r="70" ht="15.95" customHeight="1"/>
    <row r="71" ht="15.95" customHeight="1"/>
    <row r="72" ht="15.95" customHeight="1"/>
    <row r="73" ht="15.95" customHeight="1"/>
    <row r="74" ht="15.95" customHeight="1"/>
    <row r="75" ht="15.95" customHeight="1"/>
    <row r="76" ht="15.95" customHeight="1"/>
    <row r="77" ht="15.95" customHeight="1"/>
    <row r="78" ht="15.95" customHeight="1"/>
    <row r="79" ht="15.95" customHeight="1"/>
    <row r="80" ht="15.95" customHeight="1"/>
    <row r="81" ht="15.95" customHeight="1"/>
    <row r="82" ht="15.95" customHeight="1"/>
    <row r="83" ht="15.95" customHeight="1"/>
    <row r="84" ht="15.95" customHeight="1"/>
    <row r="85" ht="15.95" customHeight="1"/>
    <row r="86" ht="15.95" customHeight="1"/>
    <row r="87" ht="15.95" customHeight="1"/>
    <row r="88" ht="15.95" customHeight="1"/>
    <row r="89" ht="15.95" customHeight="1"/>
    <row r="90" ht="15.95" customHeight="1"/>
    <row r="91" ht="15.95" customHeight="1"/>
    <row r="92" ht="15.95" customHeight="1"/>
    <row r="93" ht="15.95" customHeight="1"/>
    <row r="94" ht="15.95" customHeight="1"/>
    <row r="95" ht="15.95" customHeight="1"/>
    <row r="96" ht="15.95" customHeight="1"/>
    <row r="97" ht="15.95" customHeight="1"/>
    <row r="98" ht="15.95" customHeight="1"/>
    <row r="99" ht="15.95" customHeight="1"/>
    <row r="100" ht="15.95" customHeight="1"/>
    <row r="101" ht="15.95" customHeight="1"/>
    <row r="102" ht="15.95" customHeight="1"/>
    <row r="103" ht="15.95" customHeight="1"/>
    <row r="104" ht="15.95" customHeight="1"/>
    <row r="105" ht="15.95" customHeight="1"/>
    <row r="106" ht="15.95" customHeight="1"/>
    <row r="107" ht="15.95" customHeight="1"/>
    <row r="108" ht="15.95" customHeight="1"/>
    <row r="109" ht="15.95" customHeight="1"/>
    <row r="110" ht="15.95" customHeight="1"/>
    <row r="111" ht="15.95" customHeight="1"/>
    <row r="112"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row r="155" ht="15.95" customHeight="1"/>
    <row r="156" ht="15.95" customHeight="1"/>
    <row r="157" ht="15.95" customHeight="1"/>
    <row r="158" ht="15.95" customHeight="1"/>
  </sheetData>
  <sheetProtection algorithmName="SHA-512" hashValue="oebcbVPY+LtCX0t/rJW3HvnBoQGF3e+yz+HHskDU9fYW2QkHpYIPe8sIeLkywwUnYMw8JAsjM6kVd0MWxAARdQ==" saltValue="qKU4ymH8UEIbGqCWl/Vbqg==" spinCount="100000" sheet="1" objects="1" scenarios="1"/>
  <mergeCells count="26">
    <mergeCell ref="B1:B2"/>
    <mergeCell ref="C2:J2"/>
    <mergeCell ref="I14:J14"/>
    <mergeCell ref="C16:J16"/>
    <mergeCell ref="C4:J4"/>
    <mergeCell ref="D6:F6"/>
    <mergeCell ref="D8:J8"/>
    <mergeCell ref="D14:F14"/>
    <mergeCell ref="D12:F12"/>
    <mergeCell ref="D10:F10"/>
    <mergeCell ref="F26:H26"/>
    <mergeCell ref="F28:H28"/>
    <mergeCell ref="C47:J47"/>
    <mergeCell ref="M32:P32"/>
    <mergeCell ref="E34:F34"/>
    <mergeCell ref="C44:J44"/>
    <mergeCell ref="C32:J32"/>
    <mergeCell ref="D34:D35"/>
    <mergeCell ref="C34:C35"/>
    <mergeCell ref="M20:M28"/>
    <mergeCell ref="H34:J34"/>
    <mergeCell ref="G34:G35"/>
    <mergeCell ref="D30:E30"/>
    <mergeCell ref="F20:H20"/>
    <mergeCell ref="F22:H22"/>
    <mergeCell ref="F24:H24"/>
  </mergeCells>
  <conditionalFormatting sqref="N20">
    <cfRule type="cellIs" dxfId="109" priority="13" operator="equal">
      <formula>"X"</formula>
    </cfRule>
    <cfRule type="cellIs" dxfId="108" priority="14" operator="equal">
      <formula>"F"</formula>
    </cfRule>
    <cfRule type="cellIs" dxfId="107" priority="15" operator="equal">
      <formula>"V"</formula>
    </cfRule>
  </conditionalFormatting>
  <conditionalFormatting sqref="N28 N26 N24 N22">
    <cfRule type="cellIs" dxfId="106" priority="7" operator="equal">
      <formula>"X"</formula>
    </cfRule>
    <cfRule type="cellIs" dxfId="105" priority="8" operator="equal">
      <formula>"F"</formula>
    </cfRule>
    <cfRule type="cellIs" dxfId="104" priority="9" operator="equal">
      <formula>"V"</formula>
    </cfRule>
  </conditionalFormatting>
  <conditionalFormatting sqref="J18">
    <cfRule type="cellIs" dxfId="103" priority="6" operator="lessThan">
      <formula>0</formula>
    </cfRule>
  </conditionalFormatting>
  <conditionalFormatting sqref="H36:H41">
    <cfRule type="expression" dxfId="102" priority="1">
      <formula>H36&gt;F36</formula>
    </cfRule>
    <cfRule type="expression" dxfId="101" priority="2">
      <formula>H36&lt;E36</formula>
    </cfRule>
  </conditionalFormatting>
  <conditionalFormatting sqref="L1:L1048576">
    <cfRule type="cellIs" dxfId="100" priority="3" operator="equal">
      <formula>"X"</formula>
    </cfRule>
    <cfRule type="cellIs" dxfId="99" priority="4" operator="equal">
      <formula>"F"</formula>
    </cfRule>
    <cfRule type="cellIs" dxfId="98" priority="5" operator="equal">
      <formula>"V"</formula>
    </cfRule>
  </conditionalFormatting>
  <dataValidations count="3">
    <dataValidation type="list" allowBlank="1" showInputMessage="1" showErrorMessage="1" sqref="D27 D25 D23 D21" xr:uid="{4AB816FF-DCAB-4582-A1DA-6925D511656A}">
      <formula1>Centros</formula1>
    </dataValidation>
    <dataValidation type="date" operator="greaterThan" allowBlank="1" showInputMessage="1" showErrorMessage="1" sqref="E18 G18 H6" xr:uid="{33365879-C56C-4EEE-9FB5-ACE561A6D2DA}">
      <formula1>36526</formula1>
    </dataValidation>
    <dataValidation type="list" allowBlank="1" showInputMessage="1" showErrorMessage="1" sqref="D20 D22 D24 D26 D28" xr:uid="{FE223D75-4AA7-4720-9EE5-AE33CAFE5C2C}">
      <formula1>Centros_Lista</formula1>
    </dataValidation>
  </dataValidations>
  <printOptions horizontalCentered="1"/>
  <pageMargins left="0.59055118110236227" right="0.35433070866141736" top="0.78740157480314965" bottom="0.23622047244094491" header="0.39370078740157483" footer="0.19685039370078741"/>
  <pageSetup paperSize="9" scale="63" orientation="portrait" horizontalDpi="1200" verticalDpi="1200" r:id="rId1"/>
  <headerFooter>
    <oddHeader>&amp;L&amp;G&amp;C&amp;"Arial,Bold"
&amp;14PROJETO DE SERVIÇOS DE I&amp;&amp;D E CONSULTORIA</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085" r:id="rId5" name="Check Box 13">
              <controlPr defaultSize="0" autoFill="0" autoLine="0" autoPict="0" macro="[0]!Botao_Validado_CG" altText=" ">
                <anchor moveWithCells="1">
                  <from>
                    <xdr:col>5</xdr:col>
                    <xdr:colOff>730250</xdr:colOff>
                    <xdr:row>28</xdr:row>
                    <xdr:rowOff>158750</xdr:rowOff>
                  </from>
                  <to>
                    <xdr:col>7</xdr:col>
                    <xdr:colOff>69850</xdr:colOff>
                    <xdr:row>30</xdr:row>
                    <xdr:rowOff>25400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ED387-8EA6-4A5C-A69B-914FE1D88211}">
  <sheetPr codeName="Sheet2">
    <tabColor rgb="FFFFFF00"/>
  </sheetPr>
  <dimension ref="A1:AP82"/>
  <sheetViews>
    <sheetView showGridLines="0" topLeftCell="G1" zoomScale="90" zoomScaleNormal="90" workbookViewId="0">
      <pane ySplit="8" topLeftCell="A9" activePane="bottomLeft" state="frozen"/>
      <selection pane="bottomLeft" activeCell="S13" sqref="S13"/>
    </sheetView>
  </sheetViews>
  <sheetFormatPr defaultColWidth="9.140625" defaultRowHeight="14.1"/>
  <cols>
    <col min="1" max="6" width="9" hidden="1" customWidth="1"/>
    <col min="7" max="7" width="6.5703125" style="15" customWidth="1"/>
    <col min="8" max="8" width="12.5703125" style="15" customWidth="1"/>
    <col min="9" max="9" width="13.85546875" style="15" customWidth="1"/>
    <col min="10" max="10" width="9.5703125" style="15" customWidth="1"/>
    <col min="11" max="11" width="30.5703125" style="3" customWidth="1"/>
    <col min="12" max="16" width="12.5703125" style="3" customWidth="1"/>
    <col min="17" max="17" width="26.5703125" style="3" customWidth="1"/>
    <col min="18" max="18" width="9.5703125" style="3" customWidth="1"/>
    <col min="19" max="21" width="10.42578125" style="3" customWidth="1"/>
    <col min="22" max="26" width="12.5703125" style="3" customWidth="1"/>
    <col min="27" max="27" width="1.5703125" style="86" customWidth="1"/>
    <col min="28" max="28" width="4.5703125" style="181" customWidth="1"/>
    <col min="29" max="29" width="1.5703125" style="86" hidden="1" customWidth="1"/>
    <col min="30" max="30" width="4.5703125" style="181" hidden="1" customWidth="1"/>
    <col min="31" max="32" width="9.140625" style="242" hidden="1" customWidth="1"/>
    <col min="33" max="33" width="9.140625" style="78" hidden="1" customWidth="1"/>
    <col min="34" max="16384" width="9.140625" style="3"/>
  </cols>
  <sheetData>
    <row r="1" spans="1:37" ht="24" customHeight="1" thickBot="1">
      <c r="A1" s="574" t="s">
        <v>192</v>
      </c>
      <c r="B1" s="574" t="s">
        <v>193</v>
      </c>
      <c r="C1" s="574" t="s">
        <v>194</v>
      </c>
      <c r="D1" s="574" t="s">
        <v>195</v>
      </c>
      <c r="E1" s="574" t="s">
        <v>196</v>
      </c>
      <c r="F1" s="574" t="s">
        <v>98</v>
      </c>
      <c r="G1" s="408" t="s">
        <v>99</v>
      </c>
      <c r="H1" s="87"/>
      <c r="K1" s="15"/>
      <c r="L1" s="15"/>
      <c r="N1" s="15"/>
      <c r="O1" s="20"/>
      <c r="P1" s="407" t="s">
        <v>197</v>
      </c>
      <c r="Q1" s="15"/>
      <c r="R1" s="15"/>
      <c r="S1" s="15"/>
      <c r="T1" s="15"/>
      <c r="U1" s="15"/>
      <c r="AA1" s="63"/>
      <c r="AB1" s="181" t="str">
        <f>IF($AB$9+$AB$32&gt;0,"F","V")</f>
        <v>V</v>
      </c>
      <c r="AC1" s="63"/>
      <c r="AD1" s="181" t="str">
        <f>IF(opcao_tabela&lt;&gt;"Simplificado + Detalhado","",IF(COUNTIFS(AD$3:AD$64,"I")&gt;0,"I","V"))</f>
        <v/>
      </c>
    </row>
    <row r="2" spans="1:37" s="324" customFormat="1" ht="9" customHeight="1" thickBot="1">
      <c r="A2" s="574"/>
      <c r="B2" s="574"/>
      <c r="C2" s="574"/>
      <c r="D2" s="574"/>
      <c r="E2" s="574"/>
      <c r="F2" s="574"/>
      <c r="H2" s="328"/>
      <c r="J2" s="357" t="s">
        <v>198</v>
      </c>
      <c r="K2" s="328"/>
      <c r="L2" s="328"/>
      <c r="M2" s="350"/>
      <c r="N2" s="328"/>
      <c r="P2" s="328"/>
      <c r="R2" s="580" t="s">
        <v>199</v>
      </c>
      <c r="S2" s="580"/>
      <c r="T2" s="580"/>
      <c r="U2" s="593" t="s">
        <v>200</v>
      </c>
      <c r="V2" s="594"/>
      <c r="W2" s="356"/>
      <c r="X2" s="355"/>
      <c r="Y2" s="328"/>
      <c r="Z2" s="328"/>
      <c r="AA2" s="63"/>
      <c r="AE2" s="242"/>
      <c r="AF2" s="242"/>
      <c r="AG2" s="78"/>
    </row>
    <row r="3" spans="1:37" s="14" customFormat="1" ht="15.75" customHeight="1">
      <c r="A3" s="574"/>
      <c r="B3" s="574"/>
      <c r="C3" s="584"/>
      <c r="D3" s="574"/>
      <c r="E3" s="574"/>
      <c r="F3" s="574"/>
      <c r="G3" s="312"/>
      <c r="H3" s="13"/>
      <c r="I3" s="580" t="s">
        <v>201</v>
      </c>
      <c r="J3" s="587"/>
      <c r="K3" s="77" t="s">
        <v>202</v>
      </c>
      <c r="L3" s="591" t="str">
        <f>Projeto</f>
        <v>Amorim_OT_F1</v>
      </c>
      <c r="M3" s="592"/>
      <c r="N3" s="77" t="s">
        <v>203</v>
      </c>
      <c r="O3" s="321">
        <f>Inicio</f>
        <v>46023</v>
      </c>
      <c r="P3" s="77" t="s">
        <v>204</v>
      </c>
      <c r="Q3" s="350"/>
      <c r="R3" s="580"/>
      <c r="S3" s="580"/>
      <c r="T3" s="580"/>
      <c r="U3" s="595"/>
      <c r="V3" s="596"/>
      <c r="W3" s="440"/>
      <c r="X3" s="49"/>
      <c r="AA3" s="63"/>
      <c r="AB3" s="585" t="s">
        <v>205</v>
      </c>
      <c r="AC3" s="439"/>
      <c r="AD3" s="585" t="s">
        <v>206</v>
      </c>
      <c r="AE3" s="242"/>
      <c r="AF3" s="242"/>
      <c r="AG3" s="78"/>
    </row>
    <row r="4" spans="1:37" ht="9" customHeight="1" thickBot="1">
      <c r="A4" s="574"/>
      <c r="B4" s="574"/>
      <c r="C4" s="584"/>
      <c r="D4" s="574"/>
      <c r="E4" s="574"/>
      <c r="F4" s="574"/>
      <c r="G4" s="3"/>
      <c r="H4" s="3"/>
      <c r="I4" s="580"/>
      <c r="J4" s="588"/>
      <c r="K4" s="311"/>
      <c r="O4" s="14"/>
      <c r="Q4" s="355"/>
      <c r="R4" s="580"/>
      <c r="S4" s="580"/>
      <c r="T4" s="580"/>
      <c r="U4" s="597"/>
      <c r="V4" s="598"/>
      <c r="W4" s="49"/>
      <c r="X4" s="49"/>
      <c r="AA4" s="63"/>
      <c r="AB4" s="585"/>
      <c r="AC4" s="439"/>
      <c r="AD4" s="585"/>
    </row>
    <row r="5" spans="1:37" s="14" customFormat="1" ht="15.75" customHeight="1">
      <c r="A5" s="574"/>
      <c r="B5" s="574"/>
      <c r="C5" s="584"/>
      <c r="D5" s="574"/>
      <c r="E5" s="574"/>
      <c r="F5" s="574"/>
      <c r="K5" s="77" t="s">
        <v>207</v>
      </c>
      <c r="L5" s="315" t="str">
        <f>Centro_Prop</f>
        <v>CESE</v>
      </c>
      <c r="M5" s="315">
        <f>Centro1</f>
        <v>0</v>
      </c>
      <c r="N5" s="315">
        <f>Centro2</f>
        <v>0</v>
      </c>
      <c r="O5" s="315">
        <f>Centro3</f>
        <v>0</v>
      </c>
      <c r="P5" s="316">
        <f>Centro4</f>
        <v>0</v>
      </c>
      <c r="Q5" s="406"/>
      <c r="R5" s="406"/>
      <c r="S5" s="406"/>
      <c r="T5" s="406"/>
      <c r="U5" s="406"/>
      <c r="V5" s="406"/>
      <c r="W5" s="406"/>
      <c r="AA5" s="63"/>
      <c r="AB5" s="585"/>
      <c r="AC5" s="439"/>
      <c r="AD5" s="585"/>
      <c r="AE5" s="242"/>
      <c r="AF5" s="242"/>
      <c r="AG5" s="78"/>
    </row>
    <row r="6" spans="1:37" s="489" customFormat="1" ht="9.9499999999999993" customHeight="1">
      <c r="A6" s="78" t="s">
        <v>101</v>
      </c>
      <c r="B6" s="78" t="s">
        <v>30</v>
      </c>
      <c r="C6" s="78" t="s">
        <v>208</v>
      </c>
      <c r="D6" s="78" t="s">
        <v>209</v>
      </c>
      <c r="E6" s="78" t="s">
        <v>210</v>
      </c>
      <c r="F6" s="78" t="s">
        <v>102</v>
      </c>
      <c r="G6" s="78" t="s">
        <v>62</v>
      </c>
      <c r="H6" s="78" t="s">
        <v>51</v>
      </c>
      <c r="I6" s="78" t="s">
        <v>64</v>
      </c>
      <c r="J6" s="78" t="s">
        <v>211</v>
      </c>
      <c r="K6" s="78" t="s">
        <v>212</v>
      </c>
      <c r="L6" s="78" t="s">
        <v>213</v>
      </c>
      <c r="M6" s="78" t="s">
        <v>214</v>
      </c>
      <c r="N6" s="78" t="s">
        <v>215</v>
      </c>
      <c r="O6" s="78" t="s">
        <v>216</v>
      </c>
      <c r="P6" s="78" t="s">
        <v>217</v>
      </c>
      <c r="Q6" s="78" t="s">
        <v>218</v>
      </c>
      <c r="R6" s="78" t="s">
        <v>219</v>
      </c>
      <c r="S6" s="78" t="s">
        <v>220</v>
      </c>
      <c r="T6" s="78" t="s">
        <v>221</v>
      </c>
      <c r="U6" s="78" t="s">
        <v>222</v>
      </c>
      <c r="V6" s="78" t="s">
        <v>223</v>
      </c>
      <c r="W6" s="78" t="s">
        <v>224</v>
      </c>
      <c r="X6" s="78" t="s">
        <v>225</v>
      </c>
      <c r="Y6" s="78" t="s">
        <v>226</v>
      </c>
      <c r="Z6" s="78" t="s">
        <v>227</v>
      </c>
      <c r="AA6" s="78" t="s">
        <v>106</v>
      </c>
      <c r="AB6" s="585"/>
      <c r="AC6" s="78"/>
      <c r="AD6" s="585"/>
      <c r="AG6" s="78" t="s">
        <v>228</v>
      </c>
    </row>
    <row r="7" spans="1:37" s="22" customFormat="1" ht="30" customHeight="1">
      <c r="A7" s="219"/>
      <c r="B7" s="219"/>
      <c r="C7" s="219"/>
      <c r="D7" s="219"/>
      <c r="E7" s="219"/>
      <c r="F7" s="219"/>
      <c r="G7" s="572" t="s">
        <v>62</v>
      </c>
      <c r="H7" s="572" t="s">
        <v>51</v>
      </c>
      <c r="I7" s="572" t="s">
        <v>64</v>
      </c>
      <c r="J7" s="572" t="s">
        <v>66</v>
      </c>
      <c r="K7" s="572" t="s">
        <v>229</v>
      </c>
      <c r="L7" s="572" t="s">
        <v>68</v>
      </c>
      <c r="M7" s="581" t="s">
        <v>230</v>
      </c>
      <c r="N7" s="572" t="s">
        <v>72</v>
      </c>
      <c r="O7" s="572" t="s">
        <v>165</v>
      </c>
      <c r="P7" s="572"/>
      <c r="Q7" s="572" t="s">
        <v>164</v>
      </c>
      <c r="R7" s="572" t="s">
        <v>231</v>
      </c>
      <c r="S7" s="590" t="s">
        <v>232</v>
      </c>
      <c r="T7" s="589" t="s">
        <v>233</v>
      </c>
      <c r="U7" s="581" t="s">
        <v>76</v>
      </c>
      <c r="V7" s="582" t="s">
        <v>234</v>
      </c>
      <c r="W7" s="583"/>
      <c r="X7" s="581" t="s">
        <v>82</v>
      </c>
      <c r="Y7" s="581" t="s">
        <v>235</v>
      </c>
      <c r="Z7" s="581" t="s">
        <v>236</v>
      </c>
      <c r="AA7" s="339"/>
      <c r="AB7" s="586"/>
      <c r="AC7" s="219"/>
      <c r="AD7" s="586"/>
      <c r="AE7" s="242"/>
      <c r="AF7" s="242"/>
      <c r="AG7" s="78"/>
    </row>
    <row r="8" spans="1:37" s="22" customFormat="1" ht="18" customHeight="1">
      <c r="A8"/>
      <c r="B8"/>
      <c r="C8"/>
      <c r="D8"/>
      <c r="E8"/>
      <c r="F8"/>
      <c r="G8" s="572"/>
      <c r="H8" s="572"/>
      <c r="I8" s="572"/>
      <c r="J8" s="572"/>
      <c r="K8" s="572"/>
      <c r="L8" s="572"/>
      <c r="M8" s="581"/>
      <c r="N8" s="572"/>
      <c r="O8" s="182" t="s">
        <v>237</v>
      </c>
      <c r="P8" s="182" t="s">
        <v>109</v>
      </c>
      <c r="Q8" s="572"/>
      <c r="R8" s="572"/>
      <c r="S8" s="590"/>
      <c r="T8" s="589"/>
      <c r="U8" s="581"/>
      <c r="V8" s="277" t="s">
        <v>109</v>
      </c>
      <c r="W8" s="183" t="s">
        <v>238</v>
      </c>
      <c r="X8" s="581"/>
      <c r="Y8" s="581"/>
      <c r="Z8" s="581"/>
      <c r="AA8" s="339"/>
      <c r="AB8" s="534" t="s">
        <v>239</v>
      </c>
      <c r="AC8" s="219"/>
      <c r="AD8" s="534" t="s">
        <v>240</v>
      </c>
      <c r="AE8" s="242"/>
      <c r="AF8" s="242"/>
      <c r="AG8" s="78"/>
    </row>
    <row r="9" spans="1:37" ht="24" customHeight="1">
      <c r="A9" s="55"/>
      <c r="B9" s="52"/>
      <c r="C9" s="55"/>
      <c r="D9" s="55"/>
      <c r="E9" s="55"/>
      <c r="F9" s="55"/>
      <c r="G9" s="409"/>
      <c r="H9" s="409"/>
      <c r="I9" s="409"/>
      <c r="J9" s="409"/>
      <c r="K9" s="409"/>
      <c r="L9" s="409"/>
      <c r="M9" s="414" t="s">
        <v>241</v>
      </c>
      <c r="N9" s="409"/>
      <c r="O9" s="409"/>
      <c r="P9" s="405"/>
      <c r="Q9" s="405"/>
      <c r="R9" s="405"/>
      <c r="S9" s="405"/>
      <c r="T9" s="405"/>
      <c r="U9" s="409"/>
      <c r="V9" s="409"/>
      <c r="W9" s="409"/>
      <c r="X9" s="409"/>
      <c r="Y9" s="409"/>
      <c r="Z9" s="409"/>
      <c r="AA9" s="340"/>
      <c r="AB9" s="448">
        <f>IF(OR(opcao_tabela="Simplificado",opcao_tabela="Simplificado + Detalhado"),COUNTIFS($AB$10:$AB$31,"F"),0)</f>
        <v>0</v>
      </c>
      <c r="AC9" s="340"/>
      <c r="AG9" s="78" t="s">
        <v>12</v>
      </c>
    </row>
    <row r="10" spans="1:37" s="91" customFormat="1" ht="8.1" customHeight="1">
      <c r="A10" s="46" t="s">
        <v>108</v>
      </c>
      <c r="B10" s="46"/>
      <c r="C10" s="46"/>
      <c r="D10" s="46"/>
      <c r="E10" s="46"/>
      <c r="F10" s="46"/>
      <c r="G10" s="46"/>
      <c r="H10" s="55"/>
      <c r="I10" s="55"/>
      <c r="J10" s="55"/>
      <c r="K10" s="176"/>
      <c r="L10" s="176"/>
      <c r="M10" s="181"/>
      <c r="N10" s="176"/>
      <c r="O10" s="176"/>
      <c r="P10" s="176"/>
      <c r="Q10" s="176"/>
      <c r="R10" s="176"/>
      <c r="S10" s="176"/>
      <c r="T10" s="176"/>
      <c r="U10" s="557"/>
      <c r="V10" s="557"/>
      <c r="W10" s="177"/>
      <c r="X10" s="180"/>
      <c r="Y10" s="176"/>
      <c r="Z10" s="176"/>
      <c r="AA10" s="398"/>
      <c r="AB10" s="381"/>
      <c r="AC10" s="398"/>
      <c r="AD10" s="381"/>
      <c r="AE10" s="242"/>
      <c r="AF10" s="242"/>
      <c r="AG10" s="78" t="s">
        <v>12</v>
      </c>
      <c r="AK10" s="46"/>
    </row>
    <row r="11" spans="1:37" s="4" customFormat="1" ht="15.95" customHeight="1">
      <c r="A11" s="86" t="str">
        <f t="shared" ref="A11:A30" si="0">IF($F11&lt;&gt;1,"X",IF($G11="C","1-C",IF($G11="D","2-D",IF($G11="B","3-B","X"))))</f>
        <v>1-C</v>
      </c>
      <c r="B11" s="55" t="str">
        <f t="shared" ref="B11:B30" si="1">IF($F11=1,IF(LEN($I11)&lt;2,"C","EC"),"")</f>
        <v>C</v>
      </c>
      <c r="C11" s="86" t="str">
        <f>IFERROR(IF($G11="B",INDEX(Parametros_Orcam!$E$39:$E$43,MATCH($N11,Parametros_Orcam!$C$39:$C$43,0)),""),"")</f>
        <v/>
      </c>
      <c r="D11" s="86" t="str">
        <f>IFERROR(INDEX(Parametros_Orcam!$C$5:$C$14,MATCH($Q11,Parametros_Orcam!$D$5:$D$14,0))," ")</f>
        <v>F0</v>
      </c>
      <c r="E11" s="86">
        <f t="shared" ref="E11:E30" si="2">IF(opcao_tabela="Simplificado",$F11,0)</f>
        <v>1</v>
      </c>
      <c r="F11" s="86">
        <v>1</v>
      </c>
      <c r="G11" s="411" t="str">
        <f t="shared" ref="G11:G30" si="3">IF(LEN($H11)&gt;1,"C","")</f>
        <v>C</v>
      </c>
      <c r="H11" s="526" t="s">
        <v>137</v>
      </c>
      <c r="I11" s="412"/>
      <c r="J11" s="412"/>
      <c r="K11" s="540" t="s">
        <v>139</v>
      </c>
      <c r="L11" s="412"/>
      <c r="M11" s="412"/>
      <c r="N11" s="412"/>
      <c r="O11" s="412"/>
      <c r="P11" s="413" t="s">
        <v>176</v>
      </c>
      <c r="Q11" s="540" t="s">
        <v>242</v>
      </c>
      <c r="R11" s="412"/>
      <c r="S11" s="541">
        <v>40</v>
      </c>
      <c r="T11" s="292">
        <f t="shared" ref="T11:T30" si="4">S11/220*11</f>
        <v>2</v>
      </c>
      <c r="U11" s="292">
        <f t="shared" ref="U11:U30" si="5">IFERROR(ROUND($T11/IF(LEFT($G11,1)="C",100%,IF(OR($G11="D",$G11="B"),50%,0)),2),"")</f>
        <v>2</v>
      </c>
      <c r="V11" s="289">
        <f>IFERROR(IF($G11="C",ROUND(VLOOKUP($P11&amp;"_Contratado",Parametros_Orcam!$A:$H,COLUMN(Parametros_Orcam!$G$1),0)*$T11,0),0),0)</f>
        <v>18900</v>
      </c>
      <c r="W11" s="290"/>
      <c r="X11" s="290"/>
      <c r="Y11" s="289">
        <f t="shared" ref="Y11:Y30" si="6">SUM(V11:X11)</f>
        <v>18900</v>
      </c>
      <c r="Z11" s="289">
        <f>IF(LEN($P11)&lt;2,"",$T11*INDEX(Dados_Gerais!$H$36:$H$41,MATCH($P11,Dados_Gerais!$D$36:$D$41,0)))</f>
        <v>31400</v>
      </c>
      <c r="AA11" s="86"/>
      <c r="AB11" s="181" t="str">
        <f t="shared" ref="AB11:AB30" si="7">IF($F11=0,"F",IF($F11=1,"V",""))</f>
        <v>V</v>
      </c>
      <c r="AC11" s="86"/>
      <c r="AD11" s="181" t="str">
        <f t="shared" ref="AD11:AD30" si="8">IF(opcao_tabela&lt;&gt;"Simplificado + Detalhado","",IF($AE11+$AF11&gt;0,IF(SUMIFS($S$10:$S$31,$H$10:$H$31,$H11,$Q$10:$Q$31,$Q11)=SUMIFS($S$33:$S$64,$H$33:$H$64,$H11,$Q$33:$Q$64,$Q11),"V","I"),""))</f>
        <v/>
      </c>
      <c r="AE11" s="242">
        <f>SUMIFS($S$10:$S$31,$H$10:$H$31,$H11,$Q$10:$Q$31,$Q11)</f>
        <v>40</v>
      </c>
      <c r="AF11" s="242">
        <f>SUMIFS($S$33:$S$64,$H$33:$H$64,$H11,$Q$33:$Q$64,$Q11)</f>
        <v>0</v>
      </c>
      <c r="AG11" s="78" t="str">
        <f>IF(LEN($H11)&lt;2,"C","V")</f>
        <v>V</v>
      </c>
    </row>
    <row r="12" spans="1:37" s="4" customFormat="1" ht="15.95" customHeight="1">
      <c r="A12" s="86" t="str">
        <f t="shared" si="0"/>
        <v>1-C</v>
      </c>
      <c r="B12" s="55" t="str">
        <f t="shared" si="1"/>
        <v>C</v>
      </c>
      <c r="C12" s="86" t="str">
        <f>IFERROR(IF($G12="B",INDEX(Parametros_Orcam!$E$39:$E$43,MATCH($N12,Parametros_Orcam!$C$39:$C$43,0)),""),"")</f>
        <v/>
      </c>
      <c r="D12" s="86" t="str">
        <f>IFERROR(INDEX(Parametros_Orcam!$C$5:$C$14,MATCH($Q12,Parametros_Orcam!$D$5:$D$14,0))," ")</f>
        <v>F1</v>
      </c>
      <c r="E12" s="86">
        <f t="shared" si="2"/>
        <v>1</v>
      </c>
      <c r="F12" s="86">
        <v>1</v>
      </c>
      <c r="G12" s="411" t="str">
        <f t="shared" si="3"/>
        <v>C</v>
      </c>
      <c r="H12" s="526" t="s">
        <v>137</v>
      </c>
      <c r="I12" s="412"/>
      <c r="J12" s="412"/>
      <c r="K12" s="540" t="s">
        <v>243</v>
      </c>
      <c r="L12" s="412"/>
      <c r="M12" s="412"/>
      <c r="N12" s="412"/>
      <c r="O12" s="412"/>
      <c r="P12" s="413" t="s">
        <v>178</v>
      </c>
      <c r="Q12" s="540" t="s">
        <v>244</v>
      </c>
      <c r="R12" s="412"/>
      <c r="S12" s="541">
        <v>40</v>
      </c>
      <c r="T12" s="292">
        <f t="shared" si="4"/>
        <v>2</v>
      </c>
      <c r="U12" s="292">
        <f t="shared" si="5"/>
        <v>2</v>
      </c>
      <c r="V12" s="289">
        <f>IFERROR(IF($G12="C",ROUND(VLOOKUP($P12&amp;"_Contratado",Parametros_Orcam!$A:$H,COLUMN(Parametros_Orcam!$G$1),0)*$T12,0),0),0)</f>
        <v>14140</v>
      </c>
      <c r="W12" s="290"/>
      <c r="X12" s="290"/>
      <c r="Y12" s="289">
        <f t="shared" si="6"/>
        <v>14140</v>
      </c>
      <c r="Z12" s="289">
        <f>IF(LEN($P12)&lt;2,"",$T12*INDEX(Dados_Gerais!$H$36:$H$41,MATCH($P12,Dados_Gerais!$D$36:$D$41,0)))</f>
        <v>25800</v>
      </c>
      <c r="AA12" s="86"/>
      <c r="AB12" s="181" t="str">
        <f t="shared" si="7"/>
        <v>V</v>
      </c>
      <c r="AC12" s="86"/>
      <c r="AD12" s="181" t="str">
        <f t="shared" si="8"/>
        <v/>
      </c>
      <c r="AE12" s="242">
        <f t="shared" ref="AE12:AE30" si="9">SUMIFS($S$10:$S$31,$H$10:$H$31,$H12,$Q$10:$Q$31,$Q12)</f>
        <v>40</v>
      </c>
      <c r="AF12" s="242">
        <f t="shared" ref="AF12:AF30" si="10">SUMIFS($S$33:$S$64,$H$33:$H$64,$H12,$Q$33:$Q$64,$Q12)</f>
        <v>0</v>
      </c>
      <c r="AG12" s="78" t="str">
        <f t="shared" ref="AG12:AG30" si="11">IF(LEN($H12)&lt;2,"C","V")</f>
        <v>V</v>
      </c>
    </row>
    <row r="13" spans="1:37" s="4" customFormat="1" ht="15.95" customHeight="1">
      <c r="A13" s="86" t="str">
        <f t="shared" si="0"/>
        <v>1-C</v>
      </c>
      <c r="B13" s="55" t="str">
        <f t="shared" si="1"/>
        <v>C</v>
      </c>
      <c r="C13" s="86" t="str">
        <f>IFERROR(IF($G13="B",INDEX(Parametros_Orcam!$E$39:$E$43,MATCH($N13,Parametros_Orcam!$C$39:$C$43,0)),""),"")</f>
        <v/>
      </c>
      <c r="D13" s="86" t="str">
        <f>IFERROR(INDEX(Parametros_Orcam!$C$5:$C$14,MATCH($Q13,Parametros_Orcam!$D$5:$D$14,0))," ")</f>
        <v>F3</v>
      </c>
      <c r="E13" s="86">
        <f t="shared" si="2"/>
        <v>1</v>
      </c>
      <c r="F13" s="86">
        <v>1</v>
      </c>
      <c r="G13" s="411" t="str">
        <f t="shared" si="3"/>
        <v>C</v>
      </c>
      <c r="H13" s="526" t="s">
        <v>137</v>
      </c>
      <c r="I13" s="412"/>
      <c r="J13" s="412"/>
      <c r="K13" s="540" t="s">
        <v>245</v>
      </c>
      <c r="L13" s="412"/>
      <c r="M13" s="412"/>
      <c r="N13" s="412"/>
      <c r="O13" s="412"/>
      <c r="P13" s="413" t="s">
        <v>182</v>
      </c>
      <c r="Q13" s="540" t="s">
        <v>181</v>
      </c>
      <c r="R13" s="412"/>
      <c r="S13" s="541">
        <v>45</v>
      </c>
      <c r="T13" s="292">
        <f t="shared" si="4"/>
        <v>2.25</v>
      </c>
      <c r="U13" s="292">
        <f t="shared" si="5"/>
        <v>2.25</v>
      </c>
      <c r="V13" s="289">
        <f>IFERROR(IF($G13="C",ROUND(VLOOKUP($P13&amp;"_Contratado",Parametros_Orcam!$A:$H,COLUMN(Parametros_Orcam!$G$1),0)*$T13,0),0),0)</f>
        <v>10463</v>
      </c>
      <c r="W13" s="290"/>
      <c r="X13" s="290"/>
      <c r="Y13" s="289">
        <f t="shared" si="6"/>
        <v>10463</v>
      </c>
      <c r="Z13" s="289">
        <f>IF(LEN($P13)&lt;2,"",$T13*INDEX(Dados_Gerais!$H$36:$H$41,MATCH($P13,Dados_Gerais!$D$36:$D$41,0)))</f>
        <v>19575</v>
      </c>
      <c r="AA13" s="86"/>
      <c r="AB13" s="181" t="str">
        <f t="shared" si="7"/>
        <v>V</v>
      </c>
      <c r="AC13" s="86"/>
      <c r="AD13" s="181" t="str">
        <f t="shared" si="8"/>
        <v/>
      </c>
      <c r="AE13" s="242">
        <f t="shared" si="9"/>
        <v>90</v>
      </c>
      <c r="AF13" s="242">
        <f t="shared" si="10"/>
        <v>0</v>
      </c>
      <c r="AG13" s="78" t="str">
        <f t="shared" si="11"/>
        <v>V</v>
      </c>
    </row>
    <row r="14" spans="1:37" s="4" customFormat="1" ht="15.95" customHeight="1">
      <c r="A14" s="86" t="str">
        <f t="shared" si="0"/>
        <v>1-C</v>
      </c>
      <c r="B14" s="55" t="str">
        <f t="shared" si="1"/>
        <v>C</v>
      </c>
      <c r="C14" s="86" t="str">
        <f>IFERROR(IF($G14="B",INDEX(Parametros_Orcam!$E$39:$E$43,MATCH($N14,Parametros_Orcam!$C$39:$C$43,0)),""),"")</f>
        <v/>
      </c>
      <c r="D14" s="86" t="str">
        <f>IFERROR(INDEX(Parametros_Orcam!$C$5:$C$14,MATCH($Q14,Parametros_Orcam!$D$5:$D$14,0))," ")</f>
        <v>F2</v>
      </c>
      <c r="E14" s="86">
        <f t="shared" si="2"/>
        <v>1</v>
      </c>
      <c r="F14" s="86">
        <v>1</v>
      </c>
      <c r="G14" s="411" t="str">
        <f t="shared" si="3"/>
        <v>C</v>
      </c>
      <c r="H14" s="526" t="s">
        <v>137</v>
      </c>
      <c r="I14" s="412"/>
      <c r="J14" s="412"/>
      <c r="K14" s="540" t="s">
        <v>246</v>
      </c>
      <c r="L14" s="412"/>
      <c r="M14" s="412"/>
      <c r="N14" s="412"/>
      <c r="O14" s="412"/>
      <c r="P14" s="413" t="s">
        <v>180</v>
      </c>
      <c r="Q14" s="540" t="s">
        <v>179</v>
      </c>
      <c r="R14" s="412"/>
      <c r="S14" s="541">
        <v>45</v>
      </c>
      <c r="T14" s="292">
        <f t="shared" si="4"/>
        <v>2.25</v>
      </c>
      <c r="U14" s="292">
        <f t="shared" si="5"/>
        <v>2.25</v>
      </c>
      <c r="V14" s="289">
        <f>IFERROR(IF($G14="C",ROUND(VLOOKUP($P14&amp;"_Contratado",Parametros_Orcam!$A:$H,COLUMN(Parametros_Orcam!$G$1),0)*$T14,0),0),0)</f>
        <v>12825</v>
      </c>
      <c r="W14" s="290"/>
      <c r="X14" s="290"/>
      <c r="Y14" s="289">
        <f t="shared" si="6"/>
        <v>12825</v>
      </c>
      <c r="Z14" s="289">
        <f>IF(LEN($P14)&lt;2,"",$T14*INDEX(Dados_Gerais!$H$36:$H$41,MATCH($P14,Dados_Gerais!$D$36:$D$41,0)))</f>
        <v>23850</v>
      </c>
      <c r="AA14" s="86"/>
      <c r="AB14" s="181" t="str">
        <f t="shared" si="7"/>
        <v>V</v>
      </c>
      <c r="AC14" s="86"/>
      <c r="AD14" s="181" t="str">
        <f t="shared" si="8"/>
        <v/>
      </c>
      <c r="AE14" s="242">
        <f t="shared" si="9"/>
        <v>45</v>
      </c>
      <c r="AF14" s="242">
        <f t="shared" si="10"/>
        <v>0</v>
      </c>
      <c r="AG14" s="78" t="str">
        <f t="shared" si="11"/>
        <v>V</v>
      </c>
    </row>
    <row r="15" spans="1:37" s="4" customFormat="1" ht="15.95" customHeight="1">
      <c r="A15" s="86" t="str">
        <f t="shared" si="0"/>
        <v>1-C</v>
      </c>
      <c r="B15" s="55" t="str">
        <f t="shared" si="1"/>
        <v>C</v>
      </c>
      <c r="C15" s="86" t="str">
        <f>IFERROR(IF($G15="B",INDEX(Parametros_Orcam!$E$39:$E$43,MATCH($N15,Parametros_Orcam!$C$39:$C$43,0)),""),"")</f>
        <v/>
      </c>
      <c r="D15" s="86" t="str">
        <f>IFERROR(INDEX(Parametros_Orcam!$C$5:$C$14,MATCH($Q15,Parametros_Orcam!$D$5:$D$14,0))," ")</f>
        <v>F3</v>
      </c>
      <c r="E15" s="86">
        <f t="shared" si="2"/>
        <v>1</v>
      </c>
      <c r="F15" s="86">
        <v>1</v>
      </c>
      <c r="G15" s="411" t="str">
        <f t="shared" si="3"/>
        <v>C</v>
      </c>
      <c r="H15" s="526" t="s">
        <v>137</v>
      </c>
      <c r="I15" s="412"/>
      <c r="J15" s="412"/>
      <c r="K15" s="540" t="s">
        <v>247</v>
      </c>
      <c r="L15" s="412"/>
      <c r="M15" s="412"/>
      <c r="N15" s="412"/>
      <c r="O15" s="412"/>
      <c r="P15" s="413" t="s">
        <v>182</v>
      </c>
      <c r="Q15" s="540" t="s">
        <v>181</v>
      </c>
      <c r="R15" s="412"/>
      <c r="S15" s="541">
        <v>45</v>
      </c>
      <c r="T15" s="292">
        <f t="shared" si="4"/>
        <v>2.25</v>
      </c>
      <c r="U15" s="292">
        <f t="shared" si="5"/>
        <v>2.25</v>
      </c>
      <c r="V15" s="289">
        <f>IFERROR(IF($G15="C",ROUND(VLOOKUP($P15&amp;"_Contratado",Parametros_Orcam!$A:$H,COLUMN(Parametros_Orcam!$G$1),0)*$T15,0),0),0)</f>
        <v>10463</v>
      </c>
      <c r="W15" s="290"/>
      <c r="X15" s="290"/>
      <c r="Y15" s="289">
        <f t="shared" si="6"/>
        <v>10463</v>
      </c>
      <c r="Z15" s="289">
        <f>IF(LEN($P15)&lt;2,"",$T15*INDEX(Dados_Gerais!$H$36:$H$41,MATCH($P15,Dados_Gerais!$D$36:$D$41,0)))</f>
        <v>19575</v>
      </c>
      <c r="AA15" s="86"/>
      <c r="AB15" s="181" t="str">
        <f t="shared" si="7"/>
        <v>V</v>
      </c>
      <c r="AC15" s="86"/>
      <c r="AD15" s="181" t="str">
        <f t="shared" si="8"/>
        <v/>
      </c>
      <c r="AE15" s="242">
        <f t="shared" si="9"/>
        <v>90</v>
      </c>
      <c r="AF15" s="242">
        <f t="shared" si="10"/>
        <v>0</v>
      </c>
      <c r="AG15" s="78" t="str">
        <f t="shared" si="11"/>
        <v>V</v>
      </c>
    </row>
    <row r="16" spans="1:37" s="4" customFormat="1" ht="15.95" customHeight="1">
      <c r="A16" s="86" t="str">
        <f t="shared" si="0"/>
        <v>X</v>
      </c>
      <c r="B16" s="55" t="str">
        <f t="shared" si="1"/>
        <v/>
      </c>
      <c r="C16" s="86" t="str">
        <f>IFERROR(IF($G16="B",INDEX(Parametros_Orcam!$E$39:$E$43,MATCH($N16,Parametros_Orcam!$C$39:$C$43,0)),""),"")</f>
        <v/>
      </c>
      <c r="D16" s="86" t="str">
        <f>IFERROR(INDEX(Parametros_Orcam!$C$5:$C$14,MATCH($Q16,Parametros_Orcam!$D$5:$D$14,0))," ")</f>
        <v xml:space="preserve"> </v>
      </c>
      <c r="E16" s="86" t="str">
        <f t="shared" si="2"/>
        <v>X</v>
      </c>
      <c r="F16" s="86" t="s">
        <v>190</v>
      </c>
      <c r="G16" s="411" t="str">
        <f t="shared" si="3"/>
        <v/>
      </c>
      <c r="H16" s="526"/>
      <c r="I16" s="412"/>
      <c r="J16" s="412"/>
      <c r="K16" s="542"/>
      <c r="L16" s="412"/>
      <c r="M16" s="412"/>
      <c r="N16" s="412"/>
      <c r="O16" s="412"/>
      <c r="P16" s="413"/>
      <c r="Q16" s="542"/>
      <c r="R16" s="412"/>
      <c r="S16" s="543"/>
      <c r="T16" s="292">
        <f t="shared" si="4"/>
        <v>0</v>
      </c>
      <c r="U16" s="292" t="str">
        <f t="shared" si="5"/>
        <v/>
      </c>
      <c r="V16" s="289">
        <f>IFERROR(IF($G16="C",ROUND(VLOOKUP($P16&amp;"_Contratado",Parametros_Orcam!$A:$H,COLUMN(Parametros_Orcam!$G$1),0)*$T16,0),0),0)</f>
        <v>0</v>
      </c>
      <c r="W16" s="290"/>
      <c r="X16" s="290"/>
      <c r="Y16" s="289">
        <f t="shared" si="6"/>
        <v>0</v>
      </c>
      <c r="Z16" s="289" t="str">
        <f>IF(LEN($P16)&lt;2,"",$T16*INDEX(Dados_Gerais!$H$36:$H$41,MATCH($P16,Dados_Gerais!$D$36:$D$41,0)))</f>
        <v/>
      </c>
      <c r="AA16" s="86"/>
      <c r="AB16" s="181" t="str">
        <f t="shared" si="7"/>
        <v/>
      </c>
      <c r="AC16" s="86"/>
      <c r="AD16" s="181" t="str">
        <f t="shared" si="8"/>
        <v/>
      </c>
      <c r="AE16" s="242">
        <f t="shared" si="9"/>
        <v>0</v>
      </c>
      <c r="AF16" s="242">
        <f t="shared" si="10"/>
        <v>0</v>
      </c>
      <c r="AG16" s="78" t="str">
        <f t="shared" si="11"/>
        <v>C</v>
      </c>
    </row>
    <row r="17" spans="1:37" s="4" customFormat="1" ht="15.95" customHeight="1">
      <c r="A17" s="86" t="str">
        <f t="shared" si="0"/>
        <v>X</v>
      </c>
      <c r="B17" s="55" t="str">
        <f t="shared" si="1"/>
        <v/>
      </c>
      <c r="C17" s="86" t="str">
        <f>IFERROR(IF($G17="B",INDEX(Parametros_Orcam!$E$39:$E$43,MATCH($N17,Parametros_Orcam!$C$39:$C$43,0)),""),"")</f>
        <v/>
      </c>
      <c r="D17" s="86" t="str">
        <f>IFERROR(INDEX(Parametros_Orcam!$C$5:$C$14,MATCH($Q17,Parametros_Orcam!$D$5:$D$14,0))," ")</f>
        <v xml:space="preserve"> </v>
      </c>
      <c r="E17" s="86" t="str">
        <f t="shared" si="2"/>
        <v>X</v>
      </c>
      <c r="F17" s="86" t="s">
        <v>190</v>
      </c>
      <c r="G17" s="411" t="str">
        <f t="shared" si="3"/>
        <v/>
      </c>
      <c r="H17" s="526"/>
      <c r="I17" s="412"/>
      <c r="J17" s="412"/>
      <c r="K17" s="542"/>
      <c r="L17" s="412"/>
      <c r="M17" s="412"/>
      <c r="N17" s="412"/>
      <c r="O17" s="412"/>
      <c r="P17" s="413"/>
      <c r="Q17" s="542"/>
      <c r="R17" s="412"/>
      <c r="S17" s="543"/>
      <c r="T17" s="292">
        <f t="shared" si="4"/>
        <v>0</v>
      </c>
      <c r="U17" s="292" t="str">
        <f t="shared" si="5"/>
        <v/>
      </c>
      <c r="V17" s="289">
        <f>IFERROR(IF($G17="C",ROUND(VLOOKUP($P17&amp;"_Contratado",Parametros_Orcam!$A:$H,COLUMN(Parametros_Orcam!$G$1),0)*$T17,0),0),0)</f>
        <v>0</v>
      </c>
      <c r="W17" s="290"/>
      <c r="X17" s="290"/>
      <c r="Y17" s="289">
        <f t="shared" si="6"/>
        <v>0</v>
      </c>
      <c r="Z17" s="289" t="str">
        <f>IF(LEN($P17)&lt;2,"",$T17*INDEX(Dados_Gerais!$H$36:$H$41,MATCH($P17,Dados_Gerais!$D$36:$D$41,0)))</f>
        <v/>
      </c>
      <c r="AA17" s="86"/>
      <c r="AB17" s="181" t="str">
        <f t="shared" si="7"/>
        <v/>
      </c>
      <c r="AC17" s="86"/>
      <c r="AD17" s="181" t="str">
        <f t="shared" si="8"/>
        <v/>
      </c>
      <c r="AE17" s="242">
        <f t="shared" si="9"/>
        <v>0</v>
      </c>
      <c r="AF17" s="242">
        <f t="shared" si="10"/>
        <v>0</v>
      </c>
      <c r="AG17" s="78" t="str">
        <f t="shared" si="11"/>
        <v>C</v>
      </c>
    </row>
    <row r="18" spans="1:37" s="4" customFormat="1" ht="15.95" customHeight="1">
      <c r="A18" s="86" t="str">
        <f t="shared" si="0"/>
        <v>X</v>
      </c>
      <c r="B18" s="55" t="str">
        <f t="shared" si="1"/>
        <v/>
      </c>
      <c r="C18" s="86" t="str">
        <f>IFERROR(IF($G18="B",INDEX(Parametros_Orcam!$E$39:$E$43,MATCH($N18,Parametros_Orcam!$C$39:$C$43,0)),""),"")</f>
        <v/>
      </c>
      <c r="D18" s="86" t="str">
        <f>IFERROR(INDEX(Parametros_Orcam!$C$5:$C$14,MATCH($Q18,Parametros_Orcam!$D$5:$D$14,0))," ")</f>
        <v xml:space="preserve"> </v>
      </c>
      <c r="E18" s="86" t="str">
        <f t="shared" si="2"/>
        <v>X</v>
      </c>
      <c r="F18" s="86" t="s">
        <v>190</v>
      </c>
      <c r="G18" s="411" t="str">
        <f t="shared" si="3"/>
        <v/>
      </c>
      <c r="H18" s="526"/>
      <c r="I18" s="412"/>
      <c r="J18" s="412"/>
      <c r="K18" s="542"/>
      <c r="L18" s="412"/>
      <c r="M18" s="412"/>
      <c r="N18" s="412"/>
      <c r="O18" s="412"/>
      <c r="P18" s="413"/>
      <c r="Q18" s="542"/>
      <c r="R18" s="412"/>
      <c r="S18" s="543"/>
      <c r="T18" s="292">
        <f t="shared" si="4"/>
        <v>0</v>
      </c>
      <c r="U18" s="292" t="str">
        <f t="shared" si="5"/>
        <v/>
      </c>
      <c r="V18" s="289">
        <f>IFERROR(IF($G18="C",ROUND(VLOOKUP($P18&amp;"_Contratado",Parametros_Orcam!$A:$H,COLUMN(Parametros_Orcam!$G$1),0)*$T18,0),0),0)</f>
        <v>0</v>
      </c>
      <c r="W18" s="290"/>
      <c r="X18" s="290"/>
      <c r="Y18" s="289">
        <f t="shared" si="6"/>
        <v>0</v>
      </c>
      <c r="Z18" s="289" t="str">
        <f>IF(LEN($P18)&lt;2,"",$T18*INDEX(Dados_Gerais!$H$36:$H$41,MATCH($P18,Dados_Gerais!$D$36:$D$41,0)))</f>
        <v/>
      </c>
      <c r="AA18" s="86"/>
      <c r="AB18" s="181" t="str">
        <f t="shared" si="7"/>
        <v/>
      </c>
      <c r="AC18" s="86"/>
      <c r="AD18" s="181" t="str">
        <f t="shared" si="8"/>
        <v/>
      </c>
      <c r="AE18" s="242">
        <f t="shared" si="9"/>
        <v>0</v>
      </c>
      <c r="AF18" s="242">
        <f t="shared" si="10"/>
        <v>0</v>
      </c>
      <c r="AG18" s="78" t="str">
        <f t="shared" si="11"/>
        <v>C</v>
      </c>
    </row>
    <row r="19" spans="1:37" s="4" customFormat="1" ht="15.95" customHeight="1">
      <c r="A19" s="86" t="str">
        <f t="shared" si="0"/>
        <v>X</v>
      </c>
      <c r="B19" s="55" t="str">
        <f t="shared" si="1"/>
        <v/>
      </c>
      <c r="C19" s="86" t="str">
        <f>IFERROR(IF($G19="B",INDEX(Parametros_Orcam!$E$39:$E$43,MATCH($N19,Parametros_Orcam!$C$39:$C$43,0)),""),"")</f>
        <v/>
      </c>
      <c r="D19" s="86" t="str">
        <f>IFERROR(INDEX(Parametros_Orcam!$C$5:$C$14,MATCH($Q19,Parametros_Orcam!$D$5:$D$14,0))," ")</f>
        <v xml:space="preserve"> </v>
      </c>
      <c r="E19" s="86" t="str">
        <f t="shared" si="2"/>
        <v>X</v>
      </c>
      <c r="F19" s="86" t="s">
        <v>190</v>
      </c>
      <c r="G19" s="411" t="str">
        <f t="shared" si="3"/>
        <v/>
      </c>
      <c r="H19" s="526"/>
      <c r="I19" s="412"/>
      <c r="J19" s="412"/>
      <c r="K19" s="542"/>
      <c r="L19" s="412"/>
      <c r="M19" s="412"/>
      <c r="N19" s="412"/>
      <c r="O19" s="412"/>
      <c r="P19" s="413"/>
      <c r="Q19" s="542"/>
      <c r="R19" s="412"/>
      <c r="S19" s="543"/>
      <c r="T19" s="292">
        <f t="shared" si="4"/>
        <v>0</v>
      </c>
      <c r="U19" s="292" t="str">
        <f t="shared" si="5"/>
        <v/>
      </c>
      <c r="V19" s="289">
        <f>IFERROR(IF($G19="C",ROUND(VLOOKUP($P19&amp;"_Contratado",Parametros_Orcam!$A:$H,COLUMN(Parametros_Orcam!$G$1),0)*$T19,0),0),0)</f>
        <v>0</v>
      </c>
      <c r="W19" s="290"/>
      <c r="X19" s="290"/>
      <c r="Y19" s="289">
        <f t="shared" si="6"/>
        <v>0</v>
      </c>
      <c r="Z19" s="289" t="str">
        <f>IF(LEN($P19)&lt;2,"",$T19*INDEX(Dados_Gerais!$H$36:$H$41,MATCH($P19,Dados_Gerais!$D$36:$D$41,0)))</f>
        <v/>
      </c>
      <c r="AA19" s="86"/>
      <c r="AB19" s="181" t="str">
        <f t="shared" si="7"/>
        <v/>
      </c>
      <c r="AC19" s="86"/>
      <c r="AD19" s="181" t="str">
        <f t="shared" si="8"/>
        <v/>
      </c>
      <c r="AE19" s="242">
        <f t="shared" si="9"/>
        <v>0</v>
      </c>
      <c r="AF19" s="242">
        <f t="shared" si="10"/>
        <v>0</v>
      </c>
      <c r="AG19" s="78" t="str">
        <f t="shared" si="11"/>
        <v>C</v>
      </c>
    </row>
    <row r="20" spans="1:37" s="4" customFormat="1" ht="15.95" customHeight="1">
      <c r="A20" s="86" t="str">
        <f t="shared" si="0"/>
        <v>X</v>
      </c>
      <c r="B20" s="55" t="str">
        <f t="shared" si="1"/>
        <v/>
      </c>
      <c r="C20" s="86" t="str">
        <f>IFERROR(IF($G20="B",INDEX(Parametros_Orcam!$E$39:$E$43,MATCH($N20,Parametros_Orcam!$C$39:$C$43,0)),""),"")</f>
        <v/>
      </c>
      <c r="D20" s="86" t="str">
        <f>IFERROR(INDEX(Parametros_Orcam!$C$5:$C$14,MATCH($Q20,Parametros_Orcam!$D$5:$D$14,0))," ")</f>
        <v xml:space="preserve"> </v>
      </c>
      <c r="E20" s="86" t="str">
        <f t="shared" si="2"/>
        <v>X</v>
      </c>
      <c r="F20" s="86" t="s">
        <v>190</v>
      </c>
      <c r="G20" s="411" t="str">
        <f t="shared" si="3"/>
        <v/>
      </c>
      <c r="H20" s="526"/>
      <c r="I20" s="412"/>
      <c r="J20" s="412"/>
      <c r="K20" s="542"/>
      <c r="L20" s="412"/>
      <c r="M20" s="412"/>
      <c r="N20" s="412"/>
      <c r="O20" s="412"/>
      <c r="P20" s="413"/>
      <c r="Q20" s="542"/>
      <c r="R20" s="412"/>
      <c r="S20" s="543"/>
      <c r="T20" s="292">
        <f t="shared" si="4"/>
        <v>0</v>
      </c>
      <c r="U20" s="292" t="str">
        <f t="shared" si="5"/>
        <v/>
      </c>
      <c r="V20" s="289">
        <f>IFERROR(IF($G20="C",ROUND(VLOOKUP($P20&amp;"_Contratado",Parametros_Orcam!$A:$H,COLUMN(Parametros_Orcam!$G$1),0)*$T20,0),0),0)</f>
        <v>0</v>
      </c>
      <c r="W20" s="290"/>
      <c r="X20" s="290"/>
      <c r="Y20" s="289">
        <f t="shared" si="6"/>
        <v>0</v>
      </c>
      <c r="Z20" s="289" t="str">
        <f>IF(LEN($P20)&lt;2,"",$T20*INDEX(Dados_Gerais!$H$36:$H$41,MATCH($P20,Dados_Gerais!$D$36:$D$41,0)))</f>
        <v/>
      </c>
      <c r="AA20" s="86"/>
      <c r="AB20" s="181" t="str">
        <f t="shared" si="7"/>
        <v/>
      </c>
      <c r="AC20" s="86"/>
      <c r="AD20" s="181" t="str">
        <f t="shared" si="8"/>
        <v/>
      </c>
      <c r="AE20" s="242">
        <f t="shared" si="9"/>
        <v>0</v>
      </c>
      <c r="AF20" s="242">
        <f t="shared" si="10"/>
        <v>0</v>
      </c>
      <c r="AG20" s="78" t="str">
        <f t="shared" si="11"/>
        <v>C</v>
      </c>
    </row>
    <row r="21" spans="1:37" s="4" customFormat="1" ht="15.95" customHeight="1">
      <c r="A21" s="86" t="str">
        <f t="shared" si="0"/>
        <v>X</v>
      </c>
      <c r="B21" s="55" t="str">
        <f t="shared" si="1"/>
        <v/>
      </c>
      <c r="C21" s="86" t="str">
        <f>IFERROR(IF($G21="B",INDEX(Parametros_Orcam!$E$39:$E$43,MATCH($N21,Parametros_Orcam!$C$39:$C$43,0)),""),"")</f>
        <v/>
      </c>
      <c r="D21" s="86" t="str">
        <f>IFERROR(INDEX(Parametros_Orcam!$C$5:$C$14,MATCH($Q21,Parametros_Orcam!$D$5:$D$14,0))," ")</f>
        <v xml:space="preserve"> </v>
      </c>
      <c r="E21" s="86" t="str">
        <f t="shared" si="2"/>
        <v>X</v>
      </c>
      <c r="F21" s="86" t="s">
        <v>190</v>
      </c>
      <c r="G21" s="411" t="str">
        <f t="shared" si="3"/>
        <v/>
      </c>
      <c r="H21" s="526"/>
      <c r="I21" s="412"/>
      <c r="J21" s="412"/>
      <c r="K21" s="542"/>
      <c r="L21" s="412"/>
      <c r="M21" s="412"/>
      <c r="N21" s="412"/>
      <c r="O21" s="412"/>
      <c r="P21" s="413"/>
      <c r="Q21" s="542"/>
      <c r="R21" s="412"/>
      <c r="S21" s="543"/>
      <c r="T21" s="292">
        <f t="shared" si="4"/>
        <v>0</v>
      </c>
      <c r="U21" s="292" t="str">
        <f t="shared" si="5"/>
        <v/>
      </c>
      <c r="V21" s="289">
        <f>IFERROR(IF($G21="C",ROUND(VLOOKUP($P21&amp;"_Contratado",Parametros_Orcam!$A:$H,COLUMN(Parametros_Orcam!$G$1),0)*$T21,0),0),0)</f>
        <v>0</v>
      </c>
      <c r="W21" s="290"/>
      <c r="X21" s="290"/>
      <c r="Y21" s="289">
        <f t="shared" si="6"/>
        <v>0</v>
      </c>
      <c r="Z21" s="289" t="str">
        <f>IF(LEN($P21)&lt;2,"",$T21*INDEX(Dados_Gerais!$H$36:$H$41,MATCH($P21,Dados_Gerais!$D$36:$D$41,0)))</f>
        <v/>
      </c>
      <c r="AA21" s="86"/>
      <c r="AB21" s="181" t="str">
        <f t="shared" si="7"/>
        <v/>
      </c>
      <c r="AC21" s="86"/>
      <c r="AD21" s="181" t="str">
        <f t="shared" si="8"/>
        <v/>
      </c>
      <c r="AE21" s="242">
        <f t="shared" si="9"/>
        <v>0</v>
      </c>
      <c r="AF21" s="242">
        <f t="shared" si="10"/>
        <v>0</v>
      </c>
      <c r="AG21" s="78" t="str">
        <f t="shared" si="11"/>
        <v>C</v>
      </c>
    </row>
    <row r="22" spans="1:37" s="4" customFormat="1" ht="15.95" customHeight="1">
      <c r="A22" s="86" t="str">
        <f t="shared" si="0"/>
        <v>X</v>
      </c>
      <c r="B22" s="55" t="str">
        <f t="shared" si="1"/>
        <v/>
      </c>
      <c r="C22" s="86" t="str">
        <f>IFERROR(IF($G22="B",INDEX(Parametros_Orcam!$E$39:$E$43,MATCH($N22,Parametros_Orcam!$C$39:$C$43,0)),""),"")</f>
        <v/>
      </c>
      <c r="D22" s="86" t="str">
        <f>IFERROR(INDEX(Parametros_Orcam!$C$5:$C$14,MATCH($Q22,Parametros_Orcam!$D$5:$D$14,0))," ")</f>
        <v xml:space="preserve"> </v>
      </c>
      <c r="E22" s="86" t="str">
        <f t="shared" si="2"/>
        <v>X</v>
      </c>
      <c r="F22" s="86" t="s">
        <v>190</v>
      </c>
      <c r="G22" s="411" t="str">
        <f t="shared" si="3"/>
        <v/>
      </c>
      <c r="H22" s="526"/>
      <c r="I22" s="412"/>
      <c r="J22" s="412"/>
      <c r="K22" s="542"/>
      <c r="L22" s="412"/>
      <c r="M22" s="412"/>
      <c r="N22" s="412"/>
      <c r="O22" s="412"/>
      <c r="P22" s="413"/>
      <c r="Q22" s="542"/>
      <c r="R22" s="412"/>
      <c r="S22" s="543"/>
      <c r="T22" s="292">
        <f t="shared" si="4"/>
        <v>0</v>
      </c>
      <c r="U22" s="292" t="str">
        <f t="shared" si="5"/>
        <v/>
      </c>
      <c r="V22" s="289">
        <f>IFERROR(IF($G22="C",ROUND(VLOOKUP($P22&amp;"_Contratado",Parametros_Orcam!$A:$H,COLUMN(Parametros_Orcam!$G$1),0)*$T22,0),0),0)</f>
        <v>0</v>
      </c>
      <c r="W22" s="290"/>
      <c r="X22" s="290"/>
      <c r="Y22" s="289">
        <f t="shared" si="6"/>
        <v>0</v>
      </c>
      <c r="Z22" s="289" t="str">
        <f>IF(LEN($P22)&lt;2,"",$T22*INDEX(Dados_Gerais!$H$36:$H$41,MATCH($P22,Dados_Gerais!$D$36:$D$41,0)))</f>
        <v/>
      </c>
      <c r="AA22" s="86"/>
      <c r="AB22" s="181" t="str">
        <f t="shared" si="7"/>
        <v/>
      </c>
      <c r="AC22" s="86"/>
      <c r="AD22" s="181" t="str">
        <f t="shared" si="8"/>
        <v/>
      </c>
      <c r="AE22" s="242">
        <f t="shared" si="9"/>
        <v>0</v>
      </c>
      <c r="AF22" s="242">
        <f t="shared" si="10"/>
        <v>0</v>
      </c>
      <c r="AG22" s="78" t="str">
        <f t="shared" si="11"/>
        <v>C</v>
      </c>
    </row>
    <row r="23" spans="1:37" s="4" customFormat="1" ht="15.95" customHeight="1">
      <c r="A23" s="86" t="str">
        <f t="shared" si="0"/>
        <v>X</v>
      </c>
      <c r="B23" s="55" t="str">
        <f t="shared" si="1"/>
        <v/>
      </c>
      <c r="C23" s="86" t="str">
        <f>IFERROR(IF($G23="B",INDEX(Parametros_Orcam!$E$39:$E$43,MATCH($N23,Parametros_Orcam!$C$39:$C$43,0)),""),"")</f>
        <v/>
      </c>
      <c r="D23" s="86" t="str">
        <f>IFERROR(INDEX(Parametros_Orcam!$C$5:$C$14,MATCH($Q23,Parametros_Orcam!$D$5:$D$14,0))," ")</f>
        <v xml:space="preserve"> </v>
      </c>
      <c r="E23" s="86" t="str">
        <f t="shared" si="2"/>
        <v>X</v>
      </c>
      <c r="F23" s="86" t="s">
        <v>190</v>
      </c>
      <c r="G23" s="411" t="str">
        <f t="shared" si="3"/>
        <v/>
      </c>
      <c r="H23" s="526"/>
      <c r="I23" s="412"/>
      <c r="J23" s="412"/>
      <c r="K23" s="542"/>
      <c r="L23" s="412"/>
      <c r="M23" s="412"/>
      <c r="N23" s="412"/>
      <c r="O23" s="412"/>
      <c r="P23" s="413"/>
      <c r="Q23" s="542"/>
      <c r="R23" s="412"/>
      <c r="S23" s="543"/>
      <c r="T23" s="292">
        <f t="shared" si="4"/>
        <v>0</v>
      </c>
      <c r="U23" s="292" t="str">
        <f t="shared" si="5"/>
        <v/>
      </c>
      <c r="V23" s="289">
        <f>IFERROR(IF($G23="C",ROUND(VLOOKUP($P23&amp;"_Contratado",Parametros_Orcam!$A:$H,COLUMN(Parametros_Orcam!$G$1),0)*$T23,0),0),0)</f>
        <v>0</v>
      </c>
      <c r="W23" s="290"/>
      <c r="X23" s="290"/>
      <c r="Y23" s="289">
        <f t="shared" si="6"/>
        <v>0</v>
      </c>
      <c r="Z23" s="289" t="str">
        <f>IF(LEN($P23)&lt;2,"",$T23*INDEX(Dados_Gerais!$H$36:$H$41,MATCH($P23,Dados_Gerais!$D$36:$D$41,0)))</f>
        <v/>
      </c>
      <c r="AA23" s="86"/>
      <c r="AB23" s="181" t="str">
        <f t="shared" si="7"/>
        <v/>
      </c>
      <c r="AC23" s="86"/>
      <c r="AD23" s="181" t="str">
        <f t="shared" si="8"/>
        <v/>
      </c>
      <c r="AE23" s="242">
        <f t="shared" si="9"/>
        <v>0</v>
      </c>
      <c r="AF23" s="242">
        <f t="shared" si="10"/>
        <v>0</v>
      </c>
      <c r="AG23" s="78" t="str">
        <f t="shared" si="11"/>
        <v>C</v>
      </c>
    </row>
    <row r="24" spans="1:37" s="4" customFormat="1" ht="15.95" customHeight="1">
      <c r="A24" s="86" t="str">
        <f t="shared" si="0"/>
        <v>X</v>
      </c>
      <c r="B24" s="55" t="str">
        <f t="shared" si="1"/>
        <v/>
      </c>
      <c r="C24" s="86" t="str">
        <f>IFERROR(IF($G24="B",INDEX(Parametros_Orcam!$E$39:$E$43,MATCH($N24,Parametros_Orcam!$C$39:$C$43,0)),""),"")</f>
        <v/>
      </c>
      <c r="D24" s="86" t="str">
        <f>IFERROR(INDEX(Parametros_Orcam!$C$5:$C$14,MATCH($Q24,Parametros_Orcam!$D$5:$D$14,0))," ")</f>
        <v xml:space="preserve"> </v>
      </c>
      <c r="E24" s="86" t="str">
        <f t="shared" si="2"/>
        <v>X</v>
      </c>
      <c r="F24" s="86" t="s">
        <v>190</v>
      </c>
      <c r="G24" s="411" t="str">
        <f t="shared" si="3"/>
        <v/>
      </c>
      <c r="H24" s="526"/>
      <c r="I24" s="412"/>
      <c r="J24" s="412"/>
      <c r="K24" s="542"/>
      <c r="L24" s="412"/>
      <c r="M24" s="412"/>
      <c r="N24" s="412"/>
      <c r="O24" s="412"/>
      <c r="P24" s="413"/>
      <c r="Q24" s="542"/>
      <c r="R24" s="412"/>
      <c r="S24" s="543"/>
      <c r="T24" s="292">
        <f t="shared" si="4"/>
        <v>0</v>
      </c>
      <c r="U24" s="292" t="str">
        <f t="shared" si="5"/>
        <v/>
      </c>
      <c r="V24" s="289">
        <f>IFERROR(IF($G24="C",ROUND(VLOOKUP($P24&amp;"_Contratado",Parametros_Orcam!$A:$H,COLUMN(Parametros_Orcam!$G$1),0)*$T24,0),0),0)</f>
        <v>0</v>
      </c>
      <c r="W24" s="290"/>
      <c r="X24" s="290"/>
      <c r="Y24" s="289">
        <f t="shared" si="6"/>
        <v>0</v>
      </c>
      <c r="Z24" s="289" t="str">
        <f>IF(LEN($P24)&lt;2,"",$T24*INDEX(Dados_Gerais!$H$36:$H$41,MATCH($P24,Dados_Gerais!$D$36:$D$41,0)))</f>
        <v/>
      </c>
      <c r="AA24" s="86"/>
      <c r="AB24" s="181" t="str">
        <f t="shared" si="7"/>
        <v/>
      </c>
      <c r="AC24" s="86"/>
      <c r="AD24" s="181" t="str">
        <f t="shared" si="8"/>
        <v/>
      </c>
      <c r="AE24" s="242">
        <f t="shared" si="9"/>
        <v>0</v>
      </c>
      <c r="AF24" s="242">
        <f t="shared" si="10"/>
        <v>0</v>
      </c>
      <c r="AG24" s="78" t="str">
        <f t="shared" si="11"/>
        <v>C</v>
      </c>
    </row>
    <row r="25" spans="1:37" s="4" customFormat="1" ht="15.95" customHeight="1">
      <c r="A25" s="86" t="str">
        <f t="shared" si="0"/>
        <v>X</v>
      </c>
      <c r="B25" s="55" t="str">
        <f t="shared" si="1"/>
        <v/>
      </c>
      <c r="C25" s="86" t="str">
        <f>IFERROR(IF($G25="B",INDEX(Parametros_Orcam!$E$39:$E$43,MATCH($N25,Parametros_Orcam!$C$39:$C$43,0)),""),"")</f>
        <v/>
      </c>
      <c r="D25" s="86" t="str">
        <f>IFERROR(INDEX(Parametros_Orcam!$C$5:$C$14,MATCH($Q25,Parametros_Orcam!$D$5:$D$14,0))," ")</f>
        <v xml:space="preserve"> </v>
      </c>
      <c r="E25" s="86" t="str">
        <f t="shared" si="2"/>
        <v>X</v>
      </c>
      <c r="F25" s="86" t="s">
        <v>190</v>
      </c>
      <c r="G25" s="411" t="str">
        <f t="shared" si="3"/>
        <v/>
      </c>
      <c r="H25" s="526"/>
      <c r="I25" s="412"/>
      <c r="J25" s="412"/>
      <c r="K25" s="542"/>
      <c r="L25" s="412"/>
      <c r="M25" s="412"/>
      <c r="N25" s="412"/>
      <c r="O25" s="412"/>
      <c r="P25" s="413"/>
      <c r="Q25" s="542"/>
      <c r="R25" s="412"/>
      <c r="S25" s="543"/>
      <c r="T25" s="292">
        <f t="shared" si="4"/>
        <v>0</v>
      </c>
      <c r="U25" s="292" t="str">
        <f t="shared" si="5"/>
        <v/>
      </c>
      <c r="V25" s="289">
        <f>IFERROR(IF($G25="C",ROUND(VLOOKUP($P25&amp;"_Contratado",Parametros_Orcam!$A:$H,COLUMN(Parametros_Orcam!$G$1),0)*$T25,0),0),0)</f>
        <v>0</v>
      </c>
      <c r="W25" s="290"/>
      <c r="X25" s="290"/>
      <c r="Y25" s="289">
        <f t="shared" si="6"/>
        <v>0</v>
      </c>
      <c r="Z25" s="289" t="str">
        <f>IF(LEN($P25)&lt;2,"",$T25*INDEX(Dados_Gerais!$H$36:$H$41,MATCH($P25,Dados_Gerais!$D$36:$D$41,0)))</f>
        <v/>
      </c>
      <c r="AA25" s="86"/>
      <c r="AB25" s="181" t="str">
        <f t="shared" si="7"/>
        <v/>
      </c>
      <c r="AC25" s="86"/>
      <c r="AD25" s="181" t="str">
        <f t="shared" si="8"/>
        <v/>
      </c>
      <c r="AE25" s="242">
        <f t="shared" si="9"/>
        <v>0</v>
      </c>
      <c r="AF25" s="242">
        <f t="shared" si="10"/>
        <v>0</v>
      </c>
      <c r="AG25" s="78" t="str">
        <f t="shared" si="11"/>
        <v>C</v>
      </c>
    </row>
    <row r="26" spans="1:37" s="4" customFormat="1" ht="15.95" customHeight="1">
      <c r="A26" s="86" t="str">
        <f t="shared" si="0"/>
        <v>X</v>
      </c>
      <c r="B26" s="55" t="str">
        <f t="shared" si="1"/>
        <v/>
      </c>
      <c r="C26" s="86" t="str">
        <f>IFERROR(IF($G26="B",INDEX(Parametros_Orcam!$E$39:$E$43,MATCH($N26,Parametros_Orcam!$C$39:$C$43,0)),""),"")</f>
        <v/>
      </c>
      <c r="D26" s="86" t="str">
        <f>IFERROR(INDEX(Parametros_Orcam!$C$5:$C$14,MATCH($Q26,Parametros_Orcam!$D$5:$D$14,0))," ")</f>
        <v xml:space="preserve"> </v>
      </c>
      <c r="E26" s="86" t="str">
        <f t="shared" si="2"/>
        <v>X</v>
      </c>
      <c r="F26" s="86" t="s">
        <v>190</v>
      </c>
      <c r="G26" s="411" t="str">
        <f t="shared" si="3"/>
        <v/>
      </c>
      <c r="H26" s="526"/>
      <c r="I26" s="412"/>
      <c r="J26" s="412"/>
      <c r="K26" s="542"/>
      <c r="L26" s="412"/>
      <c r="M26" s="412"/>
      <c r="N26" s="412"/>
      <c r="O26" s="412"/>
      <c r="P26" s="413"/>
      <c r="Q26" s="542"/>
      <c r="R26" s="412"/>
      <c r="S26" s="543"/>
      <c r="T26" s="292">
        <f t="shared" si="4"/>
        <v>0</v>
      </c>
      <c r="U26" s="292" t="str">
        <f t="shared" si="5"/>
        <v/>
      </c>
      <c r="V26" s="289">
        <f>IFERROR(IF($G26="C",ROUND(VLOOKUP($P26&amp;"_Contratado",Parametros_Orcam!$A:$H,COLUMN(Parametros_Orcam!$G$1),0)*$T26,0),0),0)</f>
        <v>0</v>
      </c>
      <c r="W26" s="290"/>
      <c r="X26" s="290"/>
      <c r="Y26" s="289">
        <f t="shared" si="6"/>
        <v>0</v>
      </c>
      <c r="Z26" s="289" t="str">
        <f>IF(LEN($P26)&lt;2,"",$T26*INDEX(Dados_Gerais!$H$36:$H$41,MATCH($P26,Dados_Gerais!$D$36:$D$41,0)))</f>
        <v/>
      </c>
      <c r="AA26" s="86"/>
      <c r="AB26" s="181" t="str">
        <f t="shared" si="7"/>
        <v/>
      </c>
      <c r="AC26" s="86"/>
      <c r="AD26" s="181" t="str">
        <f t="shared" si="8"/>
        <v/>
      </c>
      <c r="AE26" s="242">
        <f t="shared" si="9"/>
        <v>0</v>
      </c>
      <c r="AF26" s="242">
        <f t="shared" si="10"/>
        <v>0</v>
      </c>
      <c r="AG26" s="78" t="str">
        <f t="shared" si="11"/>
        <v>C</v>
      </c>
    </row>
    <row r="27" spans="1:37" s="4" customFormat="1" ht="15.95" customHeight="1">
      <c r="A27" s="86" t="str">
        <f t="shared" si="0"/>
        <v>X</v>
      </c>
      <c r="B27" s="55" t="str">
        <f t="shared" si="1"/>
        <v/>
      </c>
      <c r="C27" s="86" t="str">
        <f>IFERROR(IF($G27="B",INDEX(Parametros_Orcam!$E$39:$E$43,MATCH($N27,Parametros_Orcam!$C$39:$C$43,0)),""),"")</f>
        <v/>
      </c>
      <c r="D27" s="86" t="str">
        <f>IFERROR(INDEX(Parametros_Orcam!$C$5:$C$14,MATCH($Q27,Parametros_Orcam!$D$5:$D$14,0))," ")</f>
        <v xml:space="preserve"> </v>
      </c>
      <c r="E27" s="86" t="str">
        <f t="shared" si="2"/>
        <v>X</v>
      </c>
      <c r="F27" s="86" t="s">
        <v>190</v>
      </c>
      <c r="G27" s="411" t="str">
        <f t="shared" si="3"/>
        <v/>
      </c>
      <c r="H27" s="526"/>
      <c r="I27" s="412"/>
      <c r="J27" s="412"/>
      <c r="K27" s="542"/>
      <c r="L27" s="412"/>
      <c r="M27" s="412"/>
      <c r="N27" s="412"/>
      <c r="O27" s="412"/>
      <c r="P27" s="413"/>
      <c r="Q27" s="542"/>
      <c r="R27" s="412"/>
      <c r="S27" s="543"/>
      <c r="T27" s="292">
        <f t="shared" si="4"/>
        <v>0</v>
      </c>
      <c r="U27" s="292" t="str">
        <f t="shared" si="5"/>
        <v/>
      </c>
      <c r="V27" s="289">
        <f>IFERROR(IF($G27="C",ROUND(VLOOKUP($P27&amp;"_Contratado",Parametros_Orcam!$A:$H,COLUMN(Parametros_Orcam!$G$1),0)*$T27,0),0),0)</f>
        <v>0</v>
      </c>
      <c r="W27" s="290"/>
      <c r="X27" s="290"/>
      <c r="Y27" s="289">
        <f t="shared" si="6"/>
        <v>0</v>
      </c>
      <c r="Z27" s="289" t="str">
        <f>IF(LEN($P27)&lt;2,"",$T27*INDEX(Dados_Gerais!$H$36:$H$41,MATCH($P27,Dados_Gerais!$D$36:$D$41,0)))</f>
        <v/>
      </c>
      <c r="AA27" s="86"/>
      <c r="AB27" s="181" t="str">
        <f t="shared" si="7"/>
        <v/>
      </c>
      <c r="AC27" s="86"/>
      <c r="AD27" s="181" t="str">
        <f t="shared" si="8"/>
        <v/>
      </c>
      <c r="AE27" s="242">
        <f t="shared" si="9"/>
        <v>0</v>
      </c>
      <c r="AF27" s="242">
        <f t="shared" si="10"/>
        <v>0</v>
      </c>
      <c r="AG27" s="78" t="str">
        <f t="shared" si="11"/>
        <v>C</v>
      </c>
    </row>
    <row r="28" spans="1:37" s="4" customFormat="1" ht="15.95" customHeight="1">
      <c r="A28" s="86" t="str">
        <f t="shared" si="0"/>
        <v>X</v>
      </c>
      <c r="B28" s="55" t="str">
        <f t="shared" si="1"/>
        <v/>
      </c>
      <c r="C28" s="86" t="str">
        <f>IFERROR(IF($G28="B",INDEX(Parametros_Orcam!$E$39:$E$43,MATCH($N28,Parametros_Orcam!$C$39:$C$43,0)),""),"")</f>
        <v/>
      </c>
      <c r="D28" s="86" t="str">
        <f>IFERROR(INDEX(Parametros_Orcam!$C$5:$C$14,MATCH($Q28,Parametros_Orcam!$D$5:$D$14,0))," ")</f>
        <v xml:space="preserve"> </v>
      </c>
      <c r="E28" s="86" t="str">
        <f t="shared" si="2"/>
        <v>X</v>
      </c>
      <c r="F28" s="86" t="s">
        <v>190</v>
      </c>
      <c r="G28" s="411" t="str">
        <f t="shared" si="3"/>
        <v/>
      </c>
      <c r="H28" s="526"/>
      <c r="I28" s="412"/>
      <c r="J28" s="412"/>
      <c r="K28" s="542"/>
      <c r="L28" s="412"/>
      <c r="M28" s="412"/>
      <c r="N28" s="412"/>
      <c r="O28" s="412"/>
      <c r="P28" s="413"/>
      <c r="Q28" s="542"/>
      <c r="R28" s="412"/>
      <c r="S28" s="543"/>
      <c r="T28" s="292">
        <f t="shared" si="4"/>
        <v>0</v>
      </c>
      <c r="U28" s="292" t="str">
        <f t="shared" si="5"/>
        <v/>
      </c>
      <c r="V28" s="289">
        <f>IFERROR(IF($G28="C",ROUND(VLOOKUP($P28&amp;"_Contratado",Parametros_Orcam!$A:$H,COLUMN(Parametros_Orcam!$G$1),0)*$T28,0),0),0)</f>
        <v>0</v>
      </c>
      <c r="W28" s="290"/>
      <c r="X28" s="290"/>
      <c r="Y28" s="289">
        <f t="shared" si="6"/>
        <v>0</v>
      </c>
      <c r="Z28" s="289" t="str">
        <f>IF(LEN($P28)&lt;2,"",$T28*INDEX(Dados_Gerais!$H$36:$H$41,MATCH($P28,Dados_Gerais!$D$36:$D$41,0)))</f>
        <v/>
      </c>
      <c r="AA28" s="86"/>
      <c r="AB28" s="181" t="str">
        <f t="shared" si="7"/>
        <v/>
      </c>
      <c r="AC28" s="86"/>
      <c r="AD28" s="181" t="str">
        <f t="shared" si="8"/>
        <v/>
      </c>
      <c r="AE28" s="242">
        <f t="shared" si="9"/>
        <v>0</v>
      </c>
      <c r="AF28" s="242">
        <f t="shared" si="10"/>
        <v>0</v>
      </c>
      <c r="AG28" s="78" t="str">
        <f t="shared" si="11"/>
        <v>C</v>
      </c>
    </row>
    <row r="29" spans="1:37" s="4" customFormat="1" ht="15.95" customHeight="1">
      <c r="A29" s="86" t="str">
        <f t="shared" si="0"/>
        <v>X</v>
      </c>
      <c r="B29" s="55" t="str">
        <f t="shared" si="1"/>
        <v/>
      </c>
      <c r="C29" s="86" t="str">
        <f>IFERROR(IF($G29="B",INDEX(Parametros_Orcam!$E$39:$E$43,MATCH($N29,Parametros_Orcam!$C$39:$C$43,0)),""),"")</f>
        <v/>
      </c>
      <c r="D29" s="86" t="str">
        <f>IFERROR(INDEX(Parametros_Orcam!$C$5:$C$14,MATCH($Q29,Parametros_Orcam!$D$5:$D$14,0))," ")</f>
        <v xml:space="preserve"> </v>
      </c>
      <c r="E29" s="86" t="str">
        <f t="shared" si="2"/>
        <v>X</v>
      </c>
      <c r="F29" s="86" t="s">
        <v>190</v>
      </c>
      <c r="G29" s="411" t="str">
        <f t="shared" si="3"/>
        <v/>
      </c>
      <c r="H29" s="526"/>
      <c r="I29" s="412"/>
      <c r="J29" s="412"/>
      <c r="K29" s="542"/>
      <c r="L29" s="412"/>
      <c r="M29" s="412"/>
      <c r="N29" s="412"/>
      <c r="O29" s="412"/>
      <c r="P29" s="413"/>
      <c r="Q29" s="542"/>
      <c r="R29" s="412"/>
      <c r="S29" s="543"/>
      <c r="T29" s="292">
        <f t="shared" si="4"/>
        <v>0</v>
      </c>
      <c r="U29" s="292" t="str">
        <f t="shared" si="5"/>
        <v/>
      </c>
      <c r="V29" s="289">
        <f>IFERROR(IF($G29="C",ROUND(VLOOKUP($P29&amp;"_Contratado",Parametros_Orcam!$A:$H,COLUMN(Parametros_Orcam!$G$1),0)*$T29,0),0),0)</f>
        <v>0</v>
      </c>
      <c r="W29" s="290"/>
      <c r="X29" s="290"/>
      <c r="Y29" s="289">
        <f t="shared" si="6"/>
        <v>0</v>
      </c>
      <c r="Z29" s="289" t="str">
        <f>IF(LEN($P29)&lt;2,"",$T29*INDEX(Dados_Gerais!$H$36:$H$41,MATCH($P29,Dados_Gerais!$D$36:$D$41,0)))</f>
        <v/>
      </c>
      <c r="AA29" s="86"/>
      <c r="AB29" s="181" t="str">
        <f t="shared" si="7"/>
        <v/>
      </c>
      <c r="AC29" s="86"/>
      <c r="AD29" s="181" t="str">
        <f t="shared" si="8"/>
        <v/>
      </c>
      <c r="AE29" s="242">
        <f t="shared" si="9"/>
        <v>0</v>
      </c>
      <c r="AF29" s="242">
        <f t="shared" si="10"/>
        <v>0</v>
      </c>
      <c r="AG29" s="78" t="str">
        <f t="shared" si="11"/>
        <v>C</v>
      </c>
    </row>
    <row r="30" spans="1:37" s="4" customFormat="1" ht="15.95" customHeight="1">
      <c r="A30" s="86" t="str">
        <f t="shared" si="0"/>
        <v>X</v>
      </c>
      <c r="B30" s="55" t="str">
        <f t="shared" si="1"/>
        <v/>
      </c>
      <c r="C30" s="86" t="str">
        <f>IFERROR(IF($G30="B",INDEX(Parametros_Orcam!$E$39:$E$43,MATCH($N30,Parametros_Orcam!$C$39:$C$43,0)),""),"")</f>
        <v/>
      </c>
      <c r="D30" s="86" t="str">
        <f>IFERROR(INDEX(Parametros_Orcam!$C$5:$C$14,MATCH($Q30,Parametros_Orcam!$D$5:$D$14,0))," ")</f>
        <v xml:space="preserve"> </v>
      </c>
      <c r="E30" s="86" t="str">
        <f t="shared" si="2"/>
        <v>X</v>
      </c>
      <c r="F30" s="86" t="s">
        <v>190</v>
      </c>
      <c r="G30" s="411" t="str">
        <f t="shared" si="3"/>
        <v/>
      </c>
      <c r="H30" s="526"/>
      <c r="I30" s="412"/>
      <c r="J30" s="412"/>
      <c r="K30" s="542"/>
      <c r="L30" s="412"/>
      <c r="M30" s="412"/>
      <c r="N30" s="412"/>
      <c r="O30" s="412"/>
      <c r="P30" s="413"/>
      <c r="Q30" s="542"/>
      <c r="R30" s="412"/>
      <c r="S30" s="543"/>
      <c r="T30" s="292">
        <f t="shared" si="4"/>
        <v>0</v>
      </c>
      <c r="U30" s="292" t="str">
        <f t="shared" si="5"/>
        <v/>
      </c>
      <c r="V30" s="289">
        <f>IFERROR(IF($G30="C",ROUND(VLOOKUP($P30&amp;"_Contratado",Parametros_Orcam!$A:$H,COLUMN(Parametros_Orcam!$G$1),0)*$T30,0),0),0)</f>
        <v>0</v>
      </c>
      <c r="W30" s="290"/>
      <c r="X30" s="290"/>
      <c r="Y30" s="289">
        <f t="shared" si="6"/>
        <v>0</v>
      </c>
      <c r="Z30" s="289" t="str">
        <f>IF(LEN($P30)&lt;2,"",$T30*INDEX(Dados_Gerais!$H$36:$H$41,MATCH($P30,Dados_Gerais!$D$36:$D$41,0)))</f>
        <v/>
      </c>
      <c r="AA30" s="86"/>
      <c r="AB30" s="181" t="str">
        <f t="shared" si="7"/>
        <v/>
      </c>
      <c r="AC30" s="86"/>
      <c r="AD30" s="181" t="str">
        <f t="shared" si="8"/>
        <v/>
      </c>
      <c r="AE30" s="242">
        <f t="shared" si="9"/>
        <v>0</v>
      </c>
      <c r="AF30" s="242">
        <f t="shared" si="10"/>
        <v>0</v>
      </c>
      <c r="AG30" s="78" t="str">
        <f t="shared" si="11"/>
        <v>C</v>
      </c>
    </row>
    <row r="31" spans="1:37" s="91" customFormat="1" ht="15.95" customHeight="1">
      <c r="A31" s="55" t="s">
        <v>248</v>
      </c>
      <c r="B31" s="46"/>
      <c r="C31" s="46"/>
      <c r="D31" s="46"/>
      <c r="E31" s="46"/>
      <c r="F31" s="46"/>
      <c r="G31" s="46"/>
      <c r="W31" s="177"/>
      <c r="X31" s="180"/>
      <c r="Y31" s="176"/>
      <c r="Z31" s="176"/>
      <c r="AA31" s="398"/>
      <c r="AB31" s="381"/>
      <c r="AC31" s="398"/>
      <c r="AD31" s="381"/>
      <c r="AE31" s="242"/>
      <c r="AF31" s="242"/>
      <c r="AG31" s="78"/>
      <c r="AK31" s="46"/>
    </row>
    <row r="32" spans="1:37" ht="24" hidden="1" customHeight="1">
      <c r="A32" s="55"/>
      <c r="B32" s="52"/>
      <c r="C32" s="55"/>
      <c r="D32" s="55"/>
      <c r="E32" s="55"/>
      <c r="F32" s="55"/>
      <c r="G32" s="409"/>
      <c r="H32" s="409"/>
      <c r="I32" s="409"/>
      <c r="J32" s="409"/>
      <c r="K32" s="409"/>
      <c r="L32" s="409"/>
      <c r="M32" s="414" t="s">
        <v>249</v>
      </c>
      <c r="N32" s="409"/>
      <c r="O32" s="409"/>
      <c r="P32" s="405"/>
      <c r="Q32" s="409"/>
      <c r="R32" s="409"/>
      <c r="S32" s="409"/>
      <c r="T32" s="409"/>
      <c r="U32" s="409"/>
      <c r="V32" s="409"/>
      <c r="W32" s="409"/>
      <c r="X32" s="409"/>
      <c r="Y32" s="409"/>
      <c r="Z32" s="409"/>
      <c r="AA32" s="340"/>
      <c r="AB32" s="448">
        <f>IF(OR(opcao_tabela="Detalhado",opcao_tabela="Simplificado + Detalhado"),COUNTIFS($AB$33:$AB$64,"F"),0)</f>
        <v>0</v>
      </c>
      <c r="AC32" s="340"/>
      <c r="AG32" s="78" t="s">
        <v>12</v>
      </c>
    </row>
    <row r="33" spans="1:33" customFormat="1" ht="8.1" hidden="1" customHeight="1">
      <c r="A33" s="55" t="s">
        <v>250</v>
      </c>
      <c r="B33" s="55"/>
      <c r="C33" s="55"/>
      <c r="D33" s="55"/>
      <c r="E33" s="55"/>
      <c r="F33" s="55"/>
      <c r="G33" s="62"/>
      <c r="H33" s="62"/>
      <c r="I33" s="62"/>
      <c r="J33" s="62"/>
      <c r="K33" s="62"/>
      <c r="L33" s="62"/>
      <c r="M33" s="62"/>
      <c r="N33" s="62"/>
      <c r="O33" s="62"/>
      <c r="P33" s="62"/>
      <c r="Q33" s="62"/>
      <c r="R33" s="62"/>
      <c r="S33" s="62"/>
      <c r="T33" s="62"/>
      <c r="U33" s="62"/>
      <c r="V33" s="62"/>
      <c r="W33" s="62"/>
      <c r="X33" s="62"/>
      <c r="Y33" s="62"/>
      <c r="Z33" s="62"/>
      <c r="AA33" s="63"/>
      <c r="AB33" s="181"/>
      <c r="AC33" s="63"/>
      <c r="AD33" s="181"/>
      <c r="AE33" s="242"/>
      <c r="AF33" s="242"/>
      <c r="AG33" s="78" t="s">
        <v>12</v>
      </c>
    </row>
    <row r="34" spans="1:33" s="4" customFormat="1" ht="15.95" hidden="1" customHeight="1">
      <c r="A34" s="86" t="str">
        <f t="shared" ref="A34:A63" si="12">IF($F34&lt;&gt;1,"X",IF($G34="C","1-C",IF($G34="D","2-D",IF($G34="B","3-B","X"))))</f>
        <v>X</v>
      </c>
      <c r="B34" s="55" t="str">
        <f t="shared" ref="B34:B63" si="13">IF($F34=1,IF(LEN($I34)&lt;2,"C","EC"),"")</f>
        <v/>
      </c>
      <c r="C34" s="86" t="str">
        <f>IFERROR(IF($G34="B",INDEX(Parametros_Orcam!$E$39:$E$43,MATCH($N34,Parametros_Orcam!$C$39:$C$43,0)),"")," ")</f>
        <v/>
      </c>
      <c r="D34" s="86" t="str">
        <f>IFERROR(INDEX(Parametros_Orcam!$C$5:$C$14,MATCH($Q34,Parametros_Orcam!$D$5:$D$14,0))," ")</f>
        <v xml:space="preserve"> </v>
      </c>
      <c r="E34" s="86">
        <f t="shared" ref="E34:E63" si="14">IF(opcao_tabela&lt;&gt;"Simplificado",$F34,0)</f>
        <v>0</v>
      </c>
      <c r="F34" s="86" t="s">
        <v>190</v>
      </c>
      <c r="G34" s="286"/>
      <c r="H34" s="544"/>
      <c r="I34" s="544"/>
      <c r="J34" s="542"/>
      <c r="K34" s="542"/>
      <c r="L34" s="542"/>
      <c r="M34" s="544"/>
      <c r="N34" s="542"/>
      <c r="O34" s="545"/>
      <c r="P34" s="413"/>
      <c r="Q34" s="542"/>
      <c r="R34" s="546"/>
      <c r="S34" s="543"/>
      <c r="T34" s="292">
        <f t="shared" ref="T34:T63" si="15">S34/220*11</f>
        <v>0</v>
      </c>
      <c r="U34" s="292" t="str">
        <f t="shared" ref="U34:U63" si="16">IFERROR(ROUND($T34/IF(LEFT($G34,1)="C",100%,IF(OR($G34="D",$G34="B"),50%,0)),2),"")</f>
        <v/>
      </c>
      <c r="V34" s="289">
        <f>IFERROR(IF($G34="C",IF(OR($M34="OI Geral",$M34="OI EC"),ROUND(VLOOKUP($O34&amp;"_Contratado",Parametros_Orcam!$A:$H,COLUMN(Parametros_Orcam!$G$1),0)*$T34,0),0),
IF($G34="B",ROUND(IF(OR($M34="OI Geral",$M34="OI EC"),VLOOKUP($O34&amp;"_"&amp;$N34,Parametros_Orcam!$A:$H,COLUMN(Parametros_Orcam!$G$1),0)*$T34,0),0),
IF($G34="B",ROUND(IF(OR($M34="OI Geral",$M34="OI EC"),VLOOKUP($O34&amp;"_"&amp;$N34,Parametros_Orcam!$A:$H,COLUMN(Parametros_Orcam!$G$1),0)*$T34,0),0),0))),0)</f>
        <v>0</v>
      </c>
      <c r="W34" s="289">
        <f>IFERROR(IF($G34="C",IF(OR($M34="Outra OI",$M34="Outra Fonte"),ROUND(VLOOKUP($O34&amp;"_Contratado",Parametros_Orcam!$A:$H,COLUMN(Parametros_Orcam!$G$1),0)*$T34,0),0),
IF($G34="D",ROUND(VLOOKUP($P34&amp;"_Docente",Parametros_Orcam!$A:$H,COLUMN(Parametros_Orcam!G$16),0)*$T34,0),
IF($G34="B",ROUND(IF(OR($M34="Outra OI",$M34="Outra Fonte"),VLOOKUP($O34&amp;"_"&amp;$N34,Parametros_Orcam!$A:$H,COLUMN(Parametros_Orcam!$G$1),0)*$T34,0),0),0))),0)</f>
        <v>0</v>
      </c>
      <c r="X34" s="289">
        <f>IFERROR(IF($G34="D",ROUND(VLOOKUP($P34&amp;"_Docente",Parametros_Orcam!$A:$H,COLUMN(Parametros_Orcam!H$16),0)*(1+VLOOKUP($L34,IES,2,0)%+VLOOKUP($L34,IES,3,0)%)/1.25*$T34*$R34,0),
IF($G34="B",ROUND(VLOOKUP($O34&amp;"_"&amp;$N34,Parametros_Orcam!$A:$H,COLUMN(Parametros_Orcam!H$16),0)*$T34*$R34,0),0)),0)</f>
        <v>0</v>
      </c>
      <c r="Y34" s="289">
        <f t="shared" ref="Y34:Y63" si="17">SUM(V34:X34)</f>
        <v>0</v>
      </c>
      <c r="Z34" s="289" t="str">
        <f>IF(LEN($P34)&lt;2,"",$T34*INDEX(Dados_Gerais!$H$36:$H$41,MATCH($P34,Dados_Gerais!$D$36:$D$41,0)))</f>
        <v/>
      </c>
      <c r="AA34" s="86"/>
      <c r="AB34" s="181" t="str">
        <f t="shared" ref="AB34:AB63" si="18">IF($F34=0,"F",IF($F34=1,"V",""))</f>
        <v/>
      </c>
      <c r="AC34" s="86"/>
      <c r="AD34" s="181" t="str">
        <f t="shared" ref="AD34:AD63" si="19">IF(opcao_tabela&lt;&gt;"Simplificado + Detalhado","",IF($AE34+$AF34&gt;0,IF(SUMIFS($S$10:$S$31,$H$10:$H$31,$H34,$Q$10:$Q$31,$Q34)=SUMIFS($S$33:$S$64,$H$33:$H$64,$H34,$Q$33:$Q$64,$Q34),"V","I"),""))</f>
        <v/>
      </c>
      <c r="AE34" s="242">
        <f t="shared" ref="AE34:AE63" si="20">SUMIFS($S$10:$S$31,$H$10:$H$31,$H34,$Q$10:$Q$31,$Q34)</f>
        <v>0</v>
      </c>
      <c r="AF34" s="242">
        <f t="shared" ref="AF34:AF63" si="21">SUMIFS($S$33:$S$64,$H$33:$H$64,$H34,$Q$33:$Q$64,$Q34)</f>
        <v>0</v>
      </c>
      <c r="AG34" s="78" t="str">
        <f>IF(LEN($G34)&lt;1,"C","V")</f>
        <v>C</v>
      </c>
    </row>
    <row r="35" spans="1:33" s="4" customFormat="1" ht="15.95" hidden="1" customHeight="1">
      <c r="A35" s="86" t="str">
        <f t="shared" si="12"/>
        <v>X</v>
      </c>
      <c r="B35" s="55" t="str">
        <f t="shared" si="13"/>
        <v/>
      </c>
      <c r="C35" s="86" t="str">
        <f>IFERROR(IF($G35="B",INDEX(Parametros_Orcam!$E$39:$E$43,MATCH($N35,Parametros_Orcam!$C$39:$C$43,0)),"")," ")</f>
        <v/>
      </c>
      <c r="D35" s="86" t="str">
        <f>IFERROR(INDEX(Parametros_Orcam!$C$5:$C$14,MATCH($Q35,Parametros_Orcam!$D$5:$D$14,0))," ")</f>
        <v xml:space="preserve"> </v>
      </c>
      <c r="E35" s="86">
        <f t="shared" si="14"/>
        <v>0</v>
      </c>
      <c r="F35" s="86" t="s">
        <v>190</v>
      </c>
      <c r="G35" s="286"/>
      <c r="H35" s="544"/>
      <c r="I35" s="544"/>
      <c r="J35" s="542"/>
      <c r="K35" s="542"/>
      <c r="L35" s="542"/>
      <c r="M35" s="544"/>
      <c r="N35" s="542"/>
      <c r="O35" s="545"/>
      <c r="P35" s="413"/>
      <c r="Q35" s="542"/>
      <c r="R35" s="546"/>
      <c r="S35" s="543"/>
      <c r="T35" s="292">
        <f t="shared" si="15"/>
        <v>0</v>
      </c>
      <c r="U35" s="292" t="str">
        <f t="shared" si="16"/>
        <v/>
      </c>
      <c r="V35" s="289">
        <f>IFERROR(IF($G35="C",IF(OR($M35="OI Geral",$M35="OI EC"),ROUND(VLOOKUP($O35&amp;"_Contratado",Parametros_Orcam!$A:$H,COLUMN(Parametros_Orcam!$G$1),0)*$T35,0),0),
IF($G35="B",ROUND(IF(OR($M35="OI Geral",$M35="OI EC"),VLOOKUP($O35&amp;"_"&amp;$N35,Parametros_Orcam!$A:$H,COLUMN(Parametros_Orcam!$G$1),0)*$T35,0),0),
IF($G35="B",ROUND(IF(OR($M35="OI Geral",$M35="OI EC"),VLOOKUP($O35&amp;"_"&amp;$N35,Parametros_Orcam!$A:$H,COLUMN(Parametros_Orcam!$G$1),0)*$T35,0),0),0))),0)</f>
        <v>0</v>
      </c>
      <c r="W35" s="289">
        <f>IFERROR(IF($G35="C",IF(OR($M35="Outra OI",$M35="Outra Fonte"),ROUND(VLOOKUP($O35&amp;"_Contratado",Parametros_Orcam!$A:$H,COLUMN(Parametros_Orcam!$G$1),0)*$T35,0),0),
IF($G35="D",ROUND(VLOOKUP($P35&amp;"_Docente",Parametros_Orcam!$A:$H,COLUMN(Parametros_Orcam!G$16),0)*$T35,0),
IF($G35="B",ROUND(IF(OR($M35="Outra OI",$M35="Outra Fonte"),VLOOKUP($O35&amp;"_"&amp;$N35,Parametros_Orcam!$A:$H,COLUMN(Parametros_Orcam!$G$1),0)*$T35,0),0),0))),0)</f>
        <v>0</v>
      </c>
      <c r="X35" s="289">
        <f>IFERROR(IF($G35="D",ROUND(VLOOKUP($P35&amp;"_Docente",Parametros_Orcam!$A:$H,COLUMN(Parametros_Orcam!H$16),0)*(1+VLOOKUP($L35,IES,2,0)%+VLOOKUP($L35,IES,3,0)%)/1.25*$T35*$R35,0),
IF($G35="B",ROUND(VLOOKUP($O35&amp;"_"&amp;$N35,Parametros_Orcam!$A:$H,COLUMN(Parametros_Orcam!H$16),0)*$T35*$R35,0),0)),0)</f>
        <v>0</v>
      </c>
      <c r="Y35" s="289">
        <f t="shared" si="17"/>
        <v>0</v>
      </c>
      <c r="Z35" s="289" t="str">
        <f>IF(LEN($P35)&lt;2,"",$T35*INDEX(Dados_Gerais!$H$36:$H$41,MATCH($P35,Dados_Gerais!$D$36:$D$41,0)))</f>
        <v/>
      </c>
      <c r="AA35" s="86"/>
      <c r="AB35" s="181" t="str">
        <f t="shared" si="18"/>
        <v/>
      </c>
      <c r="AC35" s="86"/>
      <c r="AD35" s="181" t="str">
        <f t="shared" si="19"/>
        <v/>
      </c>
      <c r="AE35" s="242">
        <f t="shared" si="20"/>
        <v>0</v>
      </c>
      <c r="AF35" s="242">
        <f t="shared" si="21"/>
        <v>0</v>
      </c>
      <c r="AG35" s="78" t="str">
        <f t="shared" ref="AG35:AG63" si="22">IF(LEN($G35)&lt;1,"C","V")</f>
        <v>C</v>
      </c>
    </row>
    <row r="36" spans="1:33" s="4" customFormat="1" ht="15.95" hidden="1" customHeight="1">
      <c r="A36" s="86" t="str">
        <f t="shared" si="12"/>
        <v>X</v>
      </c>
      <c r="B36" s="55" t="str">
        <f t="shared" si="13"/>
        <v/>
      </c>
      <c r="C36" s="86" t="str">
        <f>IFERROR(IF($G36="B",INDEX(Parametros_Orcam!$E$39:$E$43,MATCH($N36,Parametros_Orcam!$C$39:$C$43,0)),"")," ")</f>
        <v/>
      </c>
      <c r="D36" s="86" t="str">
        <f>IFERROR(INDEX(Parametros_Orcam!$C$5:$C$14,MATCH($Q36,Parametros_Orcam!$D$5:$D$14,0))," ")</f>
        <v xml:space="preserve"> </v>
      </c>
      <c r="E36" s="86">
        <f t="shared" si="14"/>
        <v>0</v>
      </c>
      <c r="F36" s="86" t="s">
        <v>190</v>
      </c>
      <c r="G36" s="286"/>
      <c r="H36" s="544"/>
      <c r="I36" s="544"/>
      <c r="J36" s="542"/>
      <c r="K36" s="542"/>
      <c r="L36" s="542"/>
      <c r="M36" s="544"/>
      <c r="N36" s="542"/>
      <c r="O36" s="545"/>
      <c r="P36" s="413"/>
      <c r="Q36" s="542"/>
      <c r="R36" s="546"/>
      <c r="S36" s="543"/>
      <c r="T36" s="292">
        <f t="shared" si="15"/>
        <v>0</v>
      </c>
      <c r="U36" s="292" t="str">
        <f t="shared" si="16"/>
        <v/>
      </c>
      <c r="V36" s="289">
        <f>IFERROR(IF($G36="C",IF(OR($M36="OI Geral",$M36="OI EC"),ROUND(VLOOKUP($O36&amp;"_Contratado",Parametros_Orcam!$A:$H,COLUMN(Parametros_Orcam!$G$1),0)*$T36,0),0),
IF($G36="B",ROUND(IF(OR($M36="OI Geral",$M36="OI EC"),VLOOKUP($O36&amp;"_"&amp;$N36,Parametros_Orcam!$A:$H,COLUMN(Parametros_Orcam!$G$1),0)*$T36,0),0),
IF($G36="B",ROUND(IF(OR($M36="OI Geral",$M36="OI EC"),VLOOKUP($O36&amp;"_"&amp;$N36,Parametros_Orcam!$A:$H,COLUMN(Parametros_Orcam!$G$1),0)*$T36,0),0),0))),0)</f>
        <v>0</v>
      </c>
      <c r="W36" s="289">
        <f>IFERROR(IF($G36="C",IF(OR($M36="Outra OI",$M36="Outra Fonte"),ROUND(VLOOKUP($O36&amp;"_Contratado",Parametros_Orcam!$A:$H,COLUMN(Parametros_Orcam!$G$1),0)*$T36,0),0),
IF($G36="D",ROUND(VLOOKUP($P36&amp;"_Docente",Parametros_Orcam!$A:$H,COLUMN(Parametros_Orcam!G$16),0)*$T36,0),
IF($G36="B",ROUND(IF(OR($M36="Outra OI",$M36="Outra Fonte"),VLOOKUP($O36&amp;"_"&amp;$N36,Parametros_Orcam!$A:$H,COLUMN(Parametros_Orcam!$G$1),0)*$T36,0),0),0))),0)</f>
        <v>0</v>
      </c>
      <c r="X36" s="289">
        <f>IFERROR(IF($G36="D",ROUND(VLOOKUP($P36&amp;"_Docente",Parametros_Orcam!$A:$H,COLUMN(Parametros_Orcam!H$16),0)*(1+VLOOKUP($L36,IES,2,0)%+VLOOKUP($L36,IES,3,0)%)/1.25*$T36*$R36,0),
IF($G36="B",ROUND(VLOOKUP($O36&amp;"_"&amp;$N36,Parametros_Orcam!$A:$H,COLUMN(Parametros_Orcam!H$16),0)*$T36*$R36,0),0)),0)</f>
        <v>0</v>
      </c>
      <c r="Y36" s="289">
        <f t="shared" si="17"/>
        <v>0</v>
      </c>
      <c r="Z36" s="289" t="str">
        <f>IF(LEN($P36)&lt;2,"",$T36*INDEX(Dados_Gerais!$H$36:$H$41,MATCH($P36,Dados_Gerais!$D$36:$D$41,0)))</f>
        <v/>
      </c>
      <c r="AA36" s="86"/>
      <c r="AB36" s="181" t="str">
        <f t="shared" si="18"/>
        <v/>
      </c>
      <c r="AC36" s="86"/>
      <c r="AD36" s="181" t="str">
        <f t="shared" si="19"/>
        <v/>
      </c>
      <c r="AE36" s="242">
        <f t="shared" si="20"/>
        <v>0</v>
      </c>
      <c r="AF36" s="242">
        <f t="shared" si="21"/>
        <v>0</v>
      </c>
      <c r="AG36" s="78" t="str">
        <f t="shared" si="22"/>
        <v>C</v>
      </c>
    </row>
    <row r="37" spans="1:33" s="4" customFormat="1" ht="15.95" hidden="1" customHeight="1">
      <c r="A37" s="86" t="str">
        <f t="shared" si="12"/>
        <v>X</v>
      </c>
      <c r="B37" s="55" t="str">
        <f t="shared" si="13"/>
        <v/>
      </c>
      <c r="C37" s="86" t="str">
        <f>IFERROR(IF($G37="B",INDEX(Parametros_Orcam!$E$39:$E$43,MATCH($N37,Parametros_Orcam!$C$39:$C$43,0)),"")," ")</f>
        <v/>
      </c>
      <c r="D37" s="86" t="str">
        <f>IFERROR(INDEX(Parametros_Orcam!$C$5:$C$14,MATCH($Q37,Parametros_Orcam!$D$5:$D$14,0))," ")</f>
        <v xml:space="preserve"> </v>
      </c>
      <c r="E37" s="86">
        <f t="shared" si="14"/>
        <v>0</v>
      </c>
      <c r="F37" s="86" t="s">
        <v>190</v>
      </c>
      <c r="G37" s="286"/>
      <c r="H37" s="544"/>
      <c r="I37" s="544"/>
      <c r="J37" s="542"/>
      <c r="K37" s="542"/>
      <c r="L37" s="542"/>
      <c r="M37" s="544"/>
      <c r="N37" s="542"/>
      <c r="O37" s="545"/>
      <c r="P37" s="413"/>
      <c r="Q37" s="542"/>
      <c r="R37" s="546"/>
      <c r="S37" s="543"/>
      <c r="T37" s="292">
        <f t="shared" si="15"/>
        <v>0</v>
      </c>
      <c r="U37" s="292" t="str">
        <f t="shared" si="16"/>
        <v/>
      </c>
      <c r="V37" s="289">
        <f>IFERROR(IF($G37="C",IF(OR($M37="OI Geral",$M37="OI EC"),ROUND(VLOOKUP($O37&amp;"_Contratado",Parametros_Orcam!$A:$H,COLUMN(Parametros_Orcam!$G$1),0)*$T37,0),0),
IF($G37="B",ROUND(IF(OR($M37="OI Geral",$M37="OI EC"),VLOOKUP($O37&amp;"_"&amp;$N37,Parametros_Orcam!$A:$H,COLUMN(Parametros_Orcam!$G$1),0)*$T37,0),0),
IF($G37="B",ROUND(IF(OR($M37="OI Geral",$M37="OI EC"),VLOOKUP($O37&amp;"_"&amp;$N37,Parametros_Orcam!$A:$H,COLUMN(Parametros_Orcam!$G$1),0)*$T37,0),0),0))),0)</f>
        <v>0</v>
      </c>
      <c r="W37" s="289">
        <f>IFERROR(IF($G37="C",IF(OR($M37="Outra OI",$M37="Outra Fonte"),ROUND(VLOOKUP($O37&amp;"_Contratado",Parametros_Orcam!$A:$H,COLUMN(Parametros_Orcam!$G$1),0)*$T37,0),0),
IF($G37="D",ROUND(VLOOKUP($P37&amp;"_Docente",Parametros_Orcam!$A:$H,COLUMN(Parametros_Orcam!G$16),0)*$T37,0),
IF($G37="B",ROUND(IF(OR($M37="Outra OI",$M37="Outra Fonte"),VLOOKUP($O37&amp;"_"&amp;$N37,Parametros_Orcam!$A:$H,COLUMN(Parametros_Orcam!$G$1),0)*$T37,0),0),0))),0)</f>
        <v>0</v>
      </c>
      <c r="X37" s="289">
        <f>IFERROR(IF($G37="D",ROUND(VLOOKUP($P37&amp;"_Docente",Parametros_Orcam!$A:$H,COLUMN(Parametros_Orcam!H$16),0)*(1+VLOOKUP($L37,IES,2,0)%+VLOOKUP($L37,IES,3,0)%)/1.25*$T37*$R37,0),
IF($G37="B",ROUND(VLOOKUP($O37&amp;"_"&amp;$N37,Parametros_Orcam!$A:$H,COLUMN(Parametros_Orcam!H$16),0)*$T37*$R37,0),0)),0)</f>
        <v>0</v>
      </c>
      <c r="Y37" s="289">
        <f t="shared" si="17"/>
        <v>0</v>
      </c>
      <c r="Z37" s="289" t="str">
        <f>IF(LEN($P37)&lt;2,"",$T37*INDEX(Dados_Gerais!$H$36:$H$41,MATCH($P37,Dados_Gerais!$D$36:$D$41,0)))</f>
        <v/>
      </c>
      <c r="AA37" s="86"/>
      <c r="AB37" s="181" t="str">
        <f t="shared" si="18"/>
        <v/>
      </c>
      <c r="AC37" s="86"/>
      <c r="AD37" s="181" t="str">
        <f t="shared" si="19"/>
        <v/>
      </c>
      <c r="AE37" s="242">
        <f t="shared" si="20"/>
        <v>0</v>
      </c>
      <c r="AF37" s="242">
        <f t="shared" si="21"/>
        <v>0</v>
      </c>
      <c r="AG37" s="78" t="str">
        <f t="shared" si="22"/>
        <v>C</v>
      </c>
    </row>
    <row r="38" spans="1:33" s="4" customFormat="1" ht="15.95" hidden="1" customHeight="1">
      <c r="A38" s="86" t="str">
        <f t="shared" si="12"/>
        <v>X</v>
      </c>
      <c r="B38" s="55" t="str">
        <f t="shared" si="13"/>
        <v/>
      </c>
      <c r="C38" s="86" t="str">
        <f>IFERROR(IF($G38="B",INDEX(Parametros_Orcam!$E$39:$E$43,MATCH($N38,Parametros_Orcam!$C$39:$C$43,0)),"")," ")</f>
        <v/>
      </c>
      <c r="D38" s="86" t="str">
        <f>IFERROR(INDEX(Parametros_Orcam!$C$5:$C$14,MATCH($Q38,Parametros_Orcam!$D$5:$D$14,0))," ")</f>
        <v xml:space="preserve"> </v>
      </c>
      <c r="E38" s="86">
        <f t="shared" si="14"/>
        <v>0</v>
      </c>
      <c r="F38" s="86" t="s">
        <v>190</v>
      </c>
      <c r="G38" s="286"/>
      <c r="H38" s="544"/>
      <c r="I38" s="544"/>
      <c r="J38" s="542"/>
      <c r="K38" s="542"/>
      <c r="L38" s="542"/>
      <c r="M38" s="544"/>
      <c r="N38" s="542"/>
      <c r="O38" s="545"/>
      <c r="P38" s="413"/>
      <c r="Q38" s="542"/>
      <c r="R38" s="546"/>
      <c r="S38" s="543"/>
      <c r="T38" s="292">
        <f t="shared" si="15"/>
        <v>0</v>
      </c>
      <c r="U38" s="292" t="str">
        <f t="shared" si="16"/>
        <v/>
      </c>
      <c r="V38" s="289">
        <f>IFERROR(IF($G38="C",IF(OR($M38="OI Geral",$M38="OI EC"),ROUND(VLOOKUP($O38&amp;"_Contratado",Parametros_Orcam!$A:$H,COLUMN(Parametros_Orcam!$G$1),0)*$T38,0),0),
IF($G38="B",ROUND(IF(OR($M38="OI Geral",$M38="OI EC"),VLOOKUP($O38&amp;"_"&amp;$N38,Parametros_Orcam!$A:$H,COLUMN(Parametros_Orcam!$G$1),0)*$T38,0),0),
IF($G38="B",ROUND(IF(OR($M38="OI Geral",$M38="OI EC"),VLOOKUP($O38&amp;"_"&amp;$N38,Parametros_Orcam!$A:$H,COLUMN(Parametros_Orcam!$G$1),0)*$T38,0),0),0))),0)</f>
        <v>0</v>
      </c>
      <c r="W38" s="289">
        <f>IFERROR(IF($G38="C",IF(OR($M38="Outra OI",$M38="Outra Fonte"),ROUND(VLOOKUP($O38&amp;"_Contratado",Parametros_Orcam!$A:$H,COLUMN(Parametros_Orcam!$G$1),0)*$T38,0),0),
IF($G38="D",ROUND(VLOOKUP($P38&amp;"_Docente",Parametros_Orcam!$A:$H,COLUMN(Parametros_Orcam!G$16),0)*$T38,0),
IF($G38="B",ROUND(IF(OR($M38="Outra OI",$M38="Outra Fonte"),VLOOKUP($O38&amp;"_"&amp;$N38,Parametros_Orcam!$A:$H,COLUMN(Parametros_Orcam!$G$1),0)*$T38,0),0),0))),0)</f>
        <v>0</v>
      </c>
      <c r="X38" s="289">
        <f>IFERROR(IF($G38="D",ROUND(VLOOKUP($P38&amp;"_Docente",Parametros_Orcam!$A:$H,COLUMN(Parametros_Orcam!H$16),0)*(1+VLOOKUP($L38,IES,2,0)%+VLOOKUP($L38,IES,3,0)%)/1.25*$T38*$R38,0),
IF($G38="B",ROUND(VLOOKUP($O38&amp;"_"&amp;$N38,Parametros_Orcam!$A:$H,COLUMN(Parametros_Orcam!H$16),0)*$T38*$R38,0),0)),0)</f>
        <v>0</v>
      </c>
      <c r="Y38" s="289">
        <f t="shared" si="17"/>
        <v>0</v>
      </c>
      <c r="Z38" s="289" t="str">
        <f>IF(LEN($P38)&lt;2,"",$T38*INDEX(Dados_Gerais!$H$36:$H$41,MATCH($P38,Dados_Gerais!$D$36:$D$41,0)))</f>
        <v/>
      </c>
      <c r="AA38" s="86"/>
      <c r="AB38" s="181" t="str">
        <f t="shared" si="18"/>
        <v/>
      </c>
      <c r="AC38" s="86"/>
      <c r="AD38" s="181" t="str">
        <f t="shared" si="19"/>
        <v/>
      </c>
      <c r="AE38" s="242">
        <f t="shared" si="20"/>
        <v>0</v>
      </c>
      <c r="AF38" s="242">
        <f t="shared" si="21"/>
        <v>0</v>
      </c>
      <c r="AG38" s="78" t="str">
        <f t="shared" si="22"/>
        <v>C</v>
      </c>
    </row>
    <row r="39" spans="1:33" s="4" customFormat="1" ht="15.95" hidden="1" customHeight="1">
      <c r="A39" s="86" t="str">
        <f t="shared" si="12"/>
        <v>X</v>
      </c>
      <c r="B39" s="55" t="str">
        <f t="shared" si="13"/>
        <v/>
      </c>
      <c r="C39" s="86" t="str">
        <f>IFERROR(IF($G39="B",INDEX(Parametros_Orcam!$E$39:$E$43,MATCH($N39,Parametros_Orcam!$C$39:$C$43,0)),"")," ")</f>
        <v/>
      </c>
      <c r="D39" s="86" t="str">
        <f>IFERROR(INDEX(Parametros_Orcam!$C$5:$C$14,MATCH($Q39,Parametros_Orcam!$D$5:$D$14,0))," ")</f>
        <v xml:space="preserve"> </v>
      </c>
      <c r="E39" s="86">
        <f t="shared" si="14"/>
        <v>0</v>
      </c>
      <c r="F39" s="86" t="s">
        <v>190</v>
      </c>
      <c r="G39" s="286"/>
      <c r="H39" s="544"/>
      <c r="I39" s="544"/>
      <c r="J39" s="542"/>
      <c r="K39" s="542"/>
      <c r="L39" s="542"/>
      <c r="M39" s="544"/>
      <c r="N39" s="542"/>
      <c r="O39" s="545"/>
      <c r="P39" s="413"/>
      <c r="Q39" s="542"/>
      <c r="R39" s="546"/>
      <c r="S39" s="543"/>
      <c r="T39" s="292">
        <f t="shared" si="15"/>
        <v>0</v>
      </c>
      <c r="U39" s="292" t="str">
        <f t="shared" si="16"/>
        <v/>
      </c>
      <c r="V39" s="289">
        <f>IFERROR(IF($G39="C",IF(OR($M39="OI Geral",$M39="OI EC"),ROUND(VLOOKUP($O39&amp;"_Contratado",Parametros_Orcam!$A:$H,COLUMN(Parametros_Orcam!$G$1),0)*$T39,0),0),
IF($G39="B",ROUND(IF(OR($M39="OI Geral",$M39="OI EC"),VLOOKUP($O39&amp;"_"&amp;$N39,Parametros_Orcam!$A:$H,COLUMN(Parametros_Orcam!$G$1),0)*$T39,0),0),
IF($G39="B",ROUND(IF(OR($M39="OI Geral",$M39="OI EC"),VLOOKUP($O39&amp;"_"&amp;$N39,Parametros_Orcam!$A:$H,COLUMN(Parametros_Orcam!$G$1),0)*$T39,0),0),0))),0)</f>
        <v>0</v>
      </c>
      <c r="W39" s="289">
        <f>IFERROR(IF($G39="C",IF(OR($M39="Outra OI",$M39="Outra Fonte"),ROUND(VLOOKUP($O39&amp;"_Contratado",Parametros_Orcam!$A:$H,COLUMN(Parametros_Orcam!$G$1),0)*$T39,0),0),
IF($G39="D",ROUND(VLOOKUP($P39&amp;"_Docente",Parametros_Orcam!$A:$H,COLUMN(Parametros_Orcam!G$16),0)*$T39,0),
IF($G39="B",ROUND(IF(OR($M39="Outra OI",$M39="Outra Fonte"),VLOOKUP($O39&amp;"_"&amp;$N39,Parametros_Orcam!$A:$H,COLUMN(Parametros_Orcam!$G$1),0)*$T39,0),0),0))),0)</f>
        <v>0</v>
      </c>
      <c r="X39" s="289">
        <f>IFERROR(IF($G39="D",ROUND(VLOOKUP($P39&amp;"_Docente",Parametros_Orcam!$A:$H,COLUMN(Parametros_Orcam!H$16),0)*(1+VLOOKUP($L39,IES,2,0)%+VLOOKUP($L39,IES,3,0)%)/1.25*$T39*$R39,0),
IF($G39="B",ROUND(VLOOKUP($O39&amp;"_"&amp;$N39,Parametros_Orcam!$A:$H,COLUMN(Parametros_Orcam!H$16),0)*$T39*$R39,0),0)),0)</f>
        <v>0</v>
      </c>
      <c r="Y39" s="289">
        <f t="shared" si="17"/>
        <v>0</v>
      </c>
      <c r="Z39" s="289" t="str">
        <f>IF(LEN($P39)&lt;2,"",$T39*INDEX(Dados_Gerais!$H$36:$H$41,MATCH($P39,Dados_Gerais!$D$36:$D$41,0)))</f>
        <v/>
      </c>
      <c r="AA39" s="86"/>
      <c r="AB39" s="181" t="str">
        <f t="shared" si="18"/>
        <v/>
      </c>
      <c r="AC39" s="86"/>
      <c r="AD39" s="181" t="str">
        <f t="shared" si="19"/>
        <v/>
      </c>
      <c r="AE39" s="242">
        <f t="shared" si="20"/>
        <v>0</v>
      </c>
      <c r="AF39" s="242">
        <f t="shared" si="21"/>
        <v>0</v>
      </c>
      <c r="AG39" s="78" t="str">
        <f t="shared" si="22"/>
        <v>C</v>
      </c>
    </row>
    <row r="40" spans="1:33" s="4" customFormat="1" ht="15.95" hidden="1" customHeight="1">
      <c r="A40" s="86" t="str">
        <f t="shared" si="12"/>
        <v>X</v>
      </c>
      <c r="B40" s="55" t="str">
        <f t="shared" si="13"/>
        <v/>
      </c>
      <c r="C40" s="86" t="str">
        <f>IFERROR(IF($G40="B",INDEX(Parametros_Orcam!$E$39:$E$43,MATCH($N40,Parametros_Orcam!$C$39:$C$43,0)),"")," ")</f>
        <v/>
      </c>
      <c r="D40" s="86" t="str">
        <f>IFERROR(INDEX(Parametros_Orcam!$C$5:$C$14,MATCH($Q40,Parametros_Orcam!$D$5:$D$14,0))," ")</f>
        <v xml:space="preserve"> </v>
      </c>
      <c r="E40" s="86">
        <f t="shared" si="14"/>
        <v>0</v>
      </c>
      <c r="F40" s="86" t="s">
        <v>190</v>
      </c>
      <c r="G40" s="286"/>
      <c r="H40" s="544"/>
      <c r="I40" s="544"/>
      <c r="J40" s="542"/>
      <c r="K40" s="542"/>
      <c r="L40" s="542"/>
      <c r="M40" s="544"/>
      <c r="N40" s="542"/>
      <c r="O40" s="545"/>
      <c r="P40" s="413"/>
      <c r="Q40" s="542"/>
      <c r="R40" s="546"/>
      <c r="S40" s="543"/>
      <c r="T40" s="292">
        <f t="shared" si="15"/>
        <v>0</v>
      </c>
      <c r="U40" s="292" t="str">
        <f t="shared" si="16"/>
        <v/>
      </c>
      <c r="V40" s="289">
        <f>IFERROR(IF($G40="C",IF(OR($M40="OI Geral",$M40="OI EC"),ROUND(VLOOKUP($O40&amp;"_Contratado",Parametros_Orcam!$A:$H,COLUMN(Parametros_Orcam!$G$1),0)*$T40,0),0),
IF($G40="B",ROUND(IF(OR($M40="OI Geral",$M40="OI EC"),VLOOKUP($O40&amp;"_"&amp;$N40,Parametros_Orcam!$A:$H,COLUMN(Parametros_Orcam!$G$1),0)*$T40,0),0),
IF($G40="B",ROUND(IF(OR($M40="OI Geral",$M40="OI EC"),VLOOKUP($O40&amp;"_"&amp;$N40,Parametros_Orcam!$A:$H,COLUMN(Parametros_Orcam!$G$1),0)*$T40,0),0),0))),0)</f>
        <v>0</v>
      </c>
      <c r="W40" s="289">
        <f>IFERROR(IF($G40="C",IF(OR($M40="Outra OI",$M40="Outra Fonte"),ROUND(VLOOKUP($O40&amp;"_Contratado",Parametros_Orcam!$A:$H,COLUMN(Parametros_Orcam!$G$1),0)*$T40,0),0),
IF($G40="D",ROUND(VLOOKUP($P40&amp;"_Docente",Parametros_Orcam!$A:$H,COLUMN(Parametros_Orcam!G$16),0)*$T40,0),
IF($G40="B",ROUND(IF(OR($M40="Outra OI",$M40="Outra Fonte"),VLOOKUP($O40&amp;"_"&amp;$N40,Parametros_Orcam!$A:$H,COLUMN(Parametros_Orcam!$G$1),0)*$T40,0),0),0))),0)</f>
        <v>0</v>
      </c>
      <c r="X40" s="289">
        <f>IFERROR(IF($G40="D",ROUND(VLOOKUP($P40&amp;"_Docente",Parametros_Orcam!$A:$H,COLUMN(Parametros_Orcam!H$16),0)*(1+VLOOKUP($L40,IES,2,0)%+VLOOKUP($L40,IES,3,0)%)/1.25*$T40*$R40,0),
IF($G40="B",ROUND(VLOOKUP($O40&amp;"_"&amp;$N40,Parametros_Orcam!$A:$H,COLUMN(Parametros_Orcam!H$16),0)*$T40*$R40,0),0)),0)</f>
        <v>0</v>
      </c>
      <c r="Y40" s="289">
        <f t="shared" si="17"/>
        <v>0</v>
      </c>
      <c r="Z40" s="289" t="str">
        <f>IF(LEN($P40)&lt;2,"",$T40*INDEX(Dados_Gerais!$H$36:$H$41,MATCH($P40,Dados_Gerais!$D$36:$D$41,0)))</f>
        <v/>
      </c>
      <c r="AA40" s="86"/>
      <c r="AB40" s="181" t="str">
        <f t="shared" si="18"/>
        <v/>
      </c>
      <c r="AC40" s="86"/>
      <c r="AD40" s="181" t="str">
        <f t="shared" si="19"/>
        <v/>
      </c>
      <c r="AE40" s="242">
        <f t="shared" si="20"/>
        <v>0</v>
      </c>
      <c r="AF40" s="242">
        <f t="shared" si="21"/>
        <v>0</v>
      </c>
      <c r="AG40" s="78" t="str">
        <f t="shared" si="22"/>
        <v>C</v>
      </c>
    </row>
    <row r="41" spans="1:33" s="4" customFormat="1" ht="15.95" hidden="1" customHeight="1">
      <c r="A41" s="86" t="str">
        <f t="shared" si="12"/>
        <v>X</v>
      </c>
      <c r="B41" s="55" t="str">
        <f t="shared" si="13"/>
        <v/>
      </c>
      <c r="C41" s="86" t="str">
        <f>IFERROR(IF($G41="B",INDEX(Parametros_Orcam!$E$39:$E$43,MATCH($N41,Parametros_Orcam!$C$39:$C$43,0)),"")," ")</f>
        <v/>
      </c>
      <c r="D41" s="86" t="str">
        <f>IFERROR(INDEX(Parametros_Orcam!$C$5:$C$14,MATCH($Q41,Parametros_Orcam!$D$5:$D$14,0))," ")</f>
        <v xml:space="preserve"> </v>
      </c>
      <c r="E41" s="86">
        <f t="shared" si="14"/>
        <v>0</v>
      </c>
      <c r="F41" s="86" t="s">
        <v>190</v>
      </c>
      <c r="G41" s="286"/>
      <c r="H41" s="544"/>
      <c r="I41" s="544"/>
      <c r="J41" s="542"/>
      <c r="K41" s="542"/>
      <c r="L41" s="542"/>
      <c r="M41" s="544"/>
      <c r="N41" s="542"/>
      <c r="O41" s="545"/>
      <c r="P41" s="413"/>
      <c r="Q41" s="542"/>
      <c r="R41" s="546"/>
      <c r="S41" s="543"/>
      <c r="T41" s="292">
        <f t="shared" si="15"/>
        <v>0</v>
      </c>
      <c r="U41" s="292" t="str">
        <f t="shared" si="16"/>
        <v/>
      </c>
      <c r="V41" s="289">
        <f>IFERROR(IF($G41="C",IF(OR($M41="OI Geral",$M41="OI EC"),ROUND(VLOOKUP($O41&amp;"_Contratado",Parametros_Orcam!$A:$H,COLUMN(Parametros_Orcam!$G$1),0)*$T41,0),0),
IF($G41="B",ROUND(IF(OR($M41="OI Geral",$M41="OI EC"),VLOOKUP($O41&amp;"_"&amp;$N41,Parametros_Orcam!$A:$H,COLUMN(Parametros_Orcam!$G$1),0)*$T41,0),0),
IF($G41="B",ROUND(IF(OR($M41="OI Geral",$M41="OI EC"),VLOOKUP($O41&amp;"_"&amp;$N41,Parametros_Orcam!$A:$H,COLUMN(Parametros_Orcam!$G$1),0)*$T41,0),0),0))),0)</f>
        <v>0</v>
      </c>
      <c r="W41" s="289">
        <f>IFERROR(IF($G41="C",IF(OR($M41="Outra OI",$M41="Outra Fonte"),ROUND(VLOOKUP($O41&amp;"_Contratado",Parametros_Orcam!$A:$H,COLUMN(Parametros_Orcam!$G$1),0)*$T41,0),0),
IF($G41="D",ROUND(VLOOKUP($P41&amp;"_Docente",Parametros_Orcam!$A:$H,COLUMN(Parametros_Orcam!G$16),0)*$T41,0),
IF($G41="B",ROUND(IF(OR($M41="Outra OI",$M41="Outra Fonte"),VLOOKUP($O41&amp;"_"&amp;$N41,Parametros_Orcam!$A:$H,COLUMN(Parametros_Orcam!$G$1),0)*$T41,0),0),0))),0)</f>
        <v>0</v>
      </c>
      <c r="X41" s="289">
        <f>IFERROR(IF($G41="D",ROUND(VLOOKUP($P41&amp;"_Docente",Parametros_Orcam!$A:$H,COLUMN(Parametros_Orcam!H$16),0)*(1+VLOOKUP($L41,IES,2,0)%+VLOOKUP($L41,IES,3,0)%)/1.25*$T41*$R41,0),
IF($G41="B",ROUND(VLOOKUP($O41&amp;"_"&amp;$N41,Parametros_Orcam!$A:$H,COLUMN(Parametros_Orcam!H$16),0)*$T41*$R41,0),0)),0)</f>
        <v>0</v>
      </c>
      <c r="Y41" s="289">
        <f t="shared" si="17"/>
        <v>0</v>
      </c>
      <c r="Z41" s="289" t="str">
        <f>IF(LEN($P41)&lt;2,"",$T41*INDEX(Dados_Gerais!$H$36:$H$41,MATCH($P41,Dados_Gerais!$D$36:$D$41,0)))</f>
        <v/>
      </c>
      <c r="AA41" s="86"/>
      <c r="AB41" s="181" t="str">
        <f t="shared" si="18"/>
        <v/>
      </c>
      <c r="AC41" s="86"/>
      <c r="AD41" s="181" t="str">
        <f t="shared" si="19"/>
        <v/>
      </c>
      <c r="AE41" s="242">
        <f t="shared" si="20"/>
        <v>0</v>
      </c>
      <c r="AF41" s="242">
        <f t="shared" si="21"/>
        <v>0</v>
      </c>
      <c r="AG41" s="78" t="str">
        <f t="shared" si="22"/>
        <v>C</v>
      </c>
    </row>
    <row r="42" spans="1:33" s="4" customFormat="1" ht="15.95" hidden="1" customHeight="1">
      <c r="A42" s="86" t="str">
        <f t="shared" si="12"/>
        <v>X</v>
      </c>
      <c r="B42" s="55" t="str">
        <f t="shared" si="13"/>
        <v/>
      </c>
      <c r="C42" s="86" t="str">
        <f>IFERROR(IF($G42="B",INDEX(Parametros_Orcam!$E$39:$E$43,MATCH($N42,Parametros_Orcam!$C$39:$C$43,0)),"")," ")</f>
        <v/>
      </c>
      <c r="D42" s="86" t="str">
        <f>IFERROR(INDEX(Parametros_Orcam!$C$5:$C$14,MATCH($Q42,Parametros_Orcam!$D$5:$D$14,0))," ")</f>
        <v xml:space="preserve"> </v>
      </c>
      <c r="E42" s="86">
        <f t="shared" si="14"/>
        <v>0</v>
      </c>
      <c r="F42" s="86" t="s">
        <v>190</v>
      </c>
      <c r="G42" s="286"/>
      <c r="H42" s="544"/>
      <c r="I42" s="544"/>
      <c r="J42" s="542"/>
      <c r="K42" s="542"/>
      <c r="L42" s="542"/>
      <c r="M42" s="544"/>
      <c r="N42" s="542"/>
      <c r="O42" s="545"/>
      <c r="P42" s="413"/>
      <c r="Q42" s="542"/>
      <c r="R42" s="546"/>
      <c r="S42" s="543"/>
      <c r="T42" s="292">
        <f t="shared" si="15"/>
        <v>0</v>
      </c>
      <c r="U42" s="292" t="str">
        <f t="shared" si="16"/>
        <v/>
      </c>
      <c r="V42" s="289">
        <f>IFERROR(IF($G42="C",IF(OR($M42="OI Geral",$M42="OI EC"),ROUND(VLOOKUP($O42&amp;"_Contratado",Parametros_Orcam!$A:$H,COLUMN(Parametros_Orcam!$G$1),0)*$T42,0),0),
IF($G42="B",ROUND(IF(OR($M42="OI Geral",$M42="OI EC"),VLOOKUP($O42&amp;"_"&amp;$N42,Parametros_Orcam!$A:$H,COLUMN(Parametros_Orcam!$G$1),0)*$T42,0),0),
IF($G42="B",ROUND(IF(OR($M42="OI Geral",$M42="OI EC"),VLOOKUP($O42&amp;"_"&amp;$N42,Parametros_Orcam!$A:$H,COLUMN(Parametros_Orcam!$G$1),0)*$T42,0),0),0))),0)</f>
        <v>0</v>
      </c>
      <c r="W42" s="289">
        <f>IFERROR(IF($G42="C",IF(OR($M42="Outra OI",$M42="Outra Fonte"),ROUND(VLOOKUP($O42&amp;"_Contratado",Parametros_Orcam!$A:$H,COLUMN(Parametros_Orcam!$G$1),0)*$T42,0),0),
IF($G42="D",ROUND(VLOOKUP($P42&amp;"_Docente",Parametros_Orcam!$A:$H,COLUMN(Parametros_Orcam!G$16),0)*$T42,0),
IF($G42="B",ROUND(IF(OR($M42="Outra OI",$M42="Outra Fonte"),VLOOKUP($O42&amp;"_"&amp;$N42,Parametros_Orcam!$A:$H,COLUMN(Parametros_Orcam!$G$1),0)*$T42,0),0),0))),0)</f>
        <v>0</v>
      </c>
      <c r="X42" s="289">
        <f>IFERROR(IF($G42="D",ROUND(VLOOKUP($P42&amp;"_Docente",Parametros_Orcam!$A:$H,COLUMN(Parametros_Orcam!H$16),0)*(1+VLOOKUP($L42,IES,2,0)%+VLOOKUP($L42,IES,3,0)%)/1.25*$T42*$R42,0),
IF($G42="B",ROUND(VLOOKUP($O42&amp;"_"&amp;$N42,Parametros_Orcam!$A:$H,COLUMN(Parametros_Orcam!H$16),0)*$T42*$R42,0),0)),0)</f>
        <v>0</v>
      </c>
      <c r="Y42" s="289">
        <f t="shared" si="17"/>
        <v>0</v>
      </c>
      <c r="Z42" s="289" t="str">
        <f>IF(LEN($P42)&lt;2,"",$T42*INDEX(Dados_Gerais!$H$36:$H$41,MATCH($P42,Dados_Gerais!$D$36:$D$41,0)))</f>
        <v/>
      </c>
      <c r="AA42" s="86"/>
      <c r="AB42" s="181" t="str">
        <f t="shared" si="18"/>
        <v/>
      </c>
      <c r="AC42" s="86"/>
      <c r="AD42" s="181" t="str">
        <f t="shared" si="19"/>
        <v/>
      </c>
      <c r="AE42" s="242">
        <f t="shared" si="20"/>
        <v>0</v>
      </c>
      <c r="AF42" s="242">
        <f t="shared" si="21"/>
        <v>0</v>
      </c>
      <c r="AG42" s="78" t="str">
        <f t="shared" si="22"/>
        <v>C</v>
      </c>
    </row>
    <row r="43" spans="1:33" s="4" customFormat="1" ht="15.95" hidden="1" customHeight="1">
      <c r="A43" s="86" t="str">
        <f t="shared" si="12"/>
        <v>X</v>
      </c>
      <c r="B43" s="55" t="str">
        <f t="shared" si="13"/>
        <v/>
      </c>
      <c r="C43" s="86" t="str">
        <f>IFERROR(IF($G43="B",INDEX(Parametros_Orcam!$E$39:$E$43,MATCH($N43,Parametros_Orcam!$C$39:$C$43,0)),"")," ")</f>
        <v/>
      </c>
      <c r="D43" s="86" t="str">
        <f>IFERROR(INDEX(Parametros_Orcam!$C$5:$C$14,MATCH($Q43,Parametros_Orcam!$D$5:$D$14,0))," ")</f>
        <v xml:space="preserve"> </v>
      </c>
      <c r="E43" s="86">
        <f t="shared" si="14"/>
        <v>0</v>
      </c>
      <c r="F43" s="86" t="s">
        <v>190</v>
      </c>
      <c r="G43" s="286"/>
      <c r="H43" s="544"/>
      <c r="I43" s="544"/>
      <c r="J43" s="542"/>
      <c r="K43" s="542"/>
      <c r="L43" s="542"/>
      <c r="M43" s="544"/>
      <c r="N43" s="542"/>
      <c r="O43" s="545"/>
      <c r="P43" s="413"/>
      <c r="Q43" s="542"/>
      <c r="R43" s="546"/>
      <c r="S43" s="543"/>
      <c r="T43" s="292">
        <f t="shared" si="15"/>
        <v>0</v>
      </c>
      <c r="U43" s="292" t="str">
        <f t="shared" si="16"/>
        <v/>
      </c>
      <c r="V43" s="289">
        <f>IFERROR(IF($G43="C",IF(OR($M43="OI Geral",$M43="OI EC"),ROUND(VLOOKUP($O43&amp;"_Contratado",Parametros_Orcam!$A:$H,COLUMN(Parametros_Orcam!$G$1),0)*$T43,0),0),
IF($G43="B",ROUND(IF(OR($M43="OI Geral",$M43="OI EC"),VLOOKUP($O43&amp;"_"&amp;$N43,Parametros_Orcam!$A:$H,COLUMN(Parametros_Orcam!$G$1),0)*$T43,0),0),
IF($G43="B",ROUND(IF(OR($M43="OI Geral",$M43="OI EC"),VLOOKUP($O43&amp;"_"&amp;$N43,Parametros_Orcam!$A:$H,COLUMN(Parametros_Orcam!$G$1),0)*$T43,0),0),0))),0)</f>
        <v>0</v>
      </c>
      <c r="W43" s="289">
        <f>IFERROR(IF($G43="C",IF(OR($M43="Outra OI",$M43="Outra Fonte"),ROUND(VLOOKUP($O43&amp;"_Contratado",Parametros_Orcam!$A:$H,COLUMN(Parametros_Orcam!$G$1),0)*$T43,0),0),
IF($G43="D",ROUND(VLOOKUP($P43&amp;"_Docente",Parametros_Orcam!$A:$H,COLUMN(Parametros_Orcam!G$16),0)*$T43,0),
IF($G43="B",ROUND(IF(OR($M43="Outra OI",$M43="Outra Fonte"),VLOOKUP($O43&amp;"_"&amp;$N43,Parametros_Orcam!$A:$H,COLUMN(Parametros_Orcam!$G$1),0)*$T43,0),0),0))),0)</f>
        <v>0</v>
      </c>
      <c r="X43" s="289">
        <f>IFERROR(IF($G43="D",ROUND(VLOOKUP($P43&amp;"_Docente",Parametros_Orcam!$A:$H,COLUMN(Parametros_Orcam!H$16),0)*(1+VLOOKUP($L43,IES,2,0)%+VLOOKUP($L43,IES,3,0)%)/1.25*$T43*$R43,0),
IF($G43="B",ROUND(VLOOKUP($O43&amp;"_"&amp;$N43,Parametros_Orcam!$A:$H,COLUMN(Parametros_Orcam!H$16),0)*$T43*$R43,0),0)),0)</f>
        <v>0</v>
      </c>
      <c r="Y43" s="289">
        <f t="shared" si="17"/>
        <v>0</v>
      </c>
      <c r="Z43" s="289" t="str">
        <f>IF(LEN($P43)&lt;2,"",$T43*INDEX(Dados_Gerais!$H$36:$H$41,MATCH($P43,Dados_Gerais!$D$36:$D$41,0)))</f>
        <v/>
      </c>
      <c r="AA43" s="86"/>
      <c r="AB43" s="181" t="str">
        <f t="shared" si="18"/>
        <v/>
      </c>
      <c r="AC43" s="86"/>
      <c r="AD43" s="181" t="str">
        <f t="shared" si="19"/>
        <v/>
      </c>
      <c r="AE43" s="242">
        <f t="shared" si="20"/>
        <v>0</v>
      </c>
      <c r="AF43" s="242">
        <f t="shared" si="21"/>
        <v>0</v>
      </c>
      <c r="AG43" s="78" t="str">
        <f t="shared" si="22"/>
        <v>C</v>
      </c>
    </row>
    <row r="44" spans="1:33" s="4" customFormat="1" ht="15.95" hidden="1" customHeight="1">
      <c r="A44" s="86" t="str">
        <f t="shared" si="12"/>
        <v>X</v>
      </c>
      <c r="B44" s="55" t="str">
        <f t="shared" si="13"/>
        <v/>
      </c>
      <c r="C44" s="86" t="str">
        <f>IFERROR(IF($G44="B",INDEX(Parametros_Orcam!$E$39:$E$43,MATCH($N44,Parametros_Orcam!$C$39:$C$43,0)),"")," ")</f>
        <v/>
      </c>
      <c r="D44" s="86" t="str">
        <f>IFERROR(INDEX(Parametros_Orcam!$C$5:$C$14,MATCH($Q44,Parametros_Orcam!$D$5:$D$14,0))," ")</f>
        <v xml:space="preserve"> </v>
      </c>
      <c r="E44" s="86">
        <f t="shared" si="14"/>
        <v>0</v>
      </c>
      <c r="F44" s="86" t="s">
        <v>190</v>
      </c>
      <c r="G44" s="286"/>
      <c r="H44" s="544"/>
      <c r="I44" s="544"/>
      <c r="J44" s="542"/>
      <c r="K44" s="542"/>
      <c r="L44" s="542"/>
      <c r="M44" s="544"/>
      <c r="N44" s="542"/>
      <c r="O44" s="545"/>
      <c r="P44" s="413"/>
      <c r="Q44" s="542"/>
      <c r="R44" s="546"/>
      <c r="S44" s="543"/>
      <c r="T44" s="292">
        <f t="shared" si="15"/>
        <v>0</v>
      </c>
      <c r="U44" s="292" t="str">
        <f t="shared" si="16"/>
        <v/>
      </c>
      <c r="V44" s="289">
        <f>IFERROR(IF($G44="C",IF(OR($M44="OI Geral",$M44="OI EC"),ROUND(VLOOKUP($O44&amp;"_Contratado",Parametros_Orcam!$A:$H,COLUMN(Parametros_Orcam!$G$1),0)*$T44,0),0),
IF($G44="B",ROUND(IF(OR($M44="OI Geral",$M44="OI EC"),VLOOKUP($O44&amp;"_"&amp;$N44,Parametros_Orcam!$A:$H,COLUMN(Parametros_Orcam!$G$1),0)*$T44,0),0),
IF($G44="B",ROUND(IF(OR($M44="OI Geral",$M44="OI EC"),VLOOKUP($O44&amp;"_"&amp;$N44,Parametros_Orcam!$A:$H,COLUMN(Parametros_Orcam!$G$1),0)*$T44,0),0),0))),0)</f>
        <v>0</v>
      </c>
      <c r="W44" s="289">
        <f>IFERROR(IF($G44="C",IF(OR($M44="Outra OI",$M44="Outra Fonte"),ROUND(VLOOKUP($O44&amp;"_Contratado",Parametros_Orcam!$A:$H,COLUMN(Parametros_Orcam!$G$1),0)*$T44,0),0),
IF($G44="D",ROUND(VLOOKUP($P44&amp;"_Docente",Parametros_Orcam!$A:$H,COLUMN(Parametros_Orcam!G$16),0)*$T44,0),
IF($G44="B",ROUND(IF(OR($M44="Outra OI",$M44="Outra Fonte"),VLOOKUP($O44&amp;"_"&amp;$N44,Parametros_Orcam!$A:$H,COLUMN(Parametros_Orcam!$G$1),0)*$T44,0),0),0))),0)</f>
        <v>0</v>
      </c>
      <c r="X44" s="289">
        <f>IFERROR(IF($G44="D",ROUND(VLOOKUP($P44&amp;"_Docente",Parametros_Orcam!$A:$H,COLUMN(Parametros_Orcam!H$16),0)*(1+VLOOKUP($L44,IES,2,0)%+VLOOKUP($L44,IES,3,0)%)/1.25*$T44*$R44,0),
IF($G44="B",ROUND(VLOOKUP($O44&amp;"_"&amp;$N44,Parametros_Orcam!$A:$H,COLUMN(Parametros_Orcam!H$16),0)*$T44*$R44,0),0)),0)</f>
        <v>0</v>
      </c>
      <c r="Y44" s="289">
        <f t="shared" si="17"/>
        <v>0</v>
      </c>
      <c r="Z44" s="289" t="str">
        <f>IF(LEN($P44)&lt;2,"",$T44*INDEX(Dados_Gerais!$H$36:$H$41,MATCH($P44,Dados_Gerais!$D$36:$D$41,0)))</f>
        <v/>
      </c>
      <c r="AA44" s="86"/>
      <c r="AB44" s="181" t="str">
        <f t="shared" si="18"/>
        <v/>
      </c>
      <c r="AC44" s="86"/>
      <c r="AD44" s="181" t="str">
        <f t="shared" si="19"/>
        <v/>
      </c>
      <c r="AE44" s="242">
        <f t="shared" si="20"/>
        <v>0</v>
      </c>
      <c r="AF44" s="242">
        <f t="shared" si="21"/>
        <v>0</v>
      </c>
      <c r="AG44" s="78" t="str">
        <f t="shared" si="22"/>
        <v>C</v>
      </c>
    </row>
    <row r="45" spans="1:33" s="4" customFormat="1" ht="15.95" hidden="1" customHeight="1">
      <c r="A45" s="86" t="str">
        <f t="shared" si="12"/>
        <v>X</v>
      </c>
      <c r="B45" s="55" t="str">
        <f t="shared" si="13"/>
        <v/>
      </c>
      <c r="C45" s="86" t="str">
        <f>IFERROR(IF($G45="B",INDEX(Parametros_Orcam!$E$39:$E$43,MATCH($N45,Parametros_Orcam!$C$39:$C$43,0)),"")," ")</f>
        <v/>
      </c>
      <c r="D45" s="86" t="str">
        <f>IFERROR(INDEX(Parametros_Orcam!$C$5:$C$14,MATCH($Q45,Parametros_Orcam!$D$5:$D$14,0))," ")</f>
        <v xml:space="preserve"> </v>
      </c>
      <c r="E45" s="86">
        <f t="shared" si="14"/>
        <v>0</v>
      </c>
      <c r="F45" s="86" t="s">
        <v>190</v>
      </c>
      <c r="G45" s="286"/>
      <c r="H45" s="544"/>
      <c r="I45" s="544"/>
      <c r="J45" s="542"/>
      <c r="K45" s="542"/>
      <c r="L45" s="542"/>
      <c r="M45" s="544"/>
      <c r="N45" s="542"/>
      <c r="O45" s="545"/>
      <c r="P45" s="413"/>
      <c r="Q45" s="542"/>
      <c r="R45" s="546"/>
      <c r="S45" s="543"/>
      <c r="T45" s="292">
        <f t="shared" si="15"/>
        <v>0</v>
      </c>
      <c r="U45" s="292" t="str">
        <f t="shared" si="16"/>
        <v/>
      </c>
      <c r="V45" s="289">
        <f>IFERROR(IF($G45="C",IF(OR($M45="OI Geral",$M45="OI EC"),ROUND(VLOOKUP($O45&amp;"_Contratado",Parametros_Orcam!$A:$H,COLUMN(Parametros_Orcam!$G$1),0)*$T45,0),0),
IF($G45="B",ROUND(IF(OR($M45="OI Geral",$M45="OI EC"),VLOOKUP($O45&amp;"_"&amp;$N45,Parametros_Orcam!$A:$H,COLUMN(Parametros_Orcam!$G$1),0)*$T45,0),0),
IF($G45="B",ROUND(IF(OR($M45="OI Geral",$M45="OI EC"),VLOOKUP($O45&amp;"_"&amp;$N45,Parametros_Orcam!$A:$H,COLUMN(Parametros_Orcam!$G$1),0)*$T45,0),0),0))),0)</f>
        <v>0</v>
      </c>
      <c r="W45" s="289">
        <f>IFERROR(IF($G45="C",IF(OR($M45="Outra OI",$M45="Outra Fonte"),ROUND(VLOOKUP($O45&amp;"_Contratado",Parametros_Orcam!$A:$H,COLUMN(Parametros_Orcam!$G$1),0)*$T45,0),0),
IF($G45="D",ROUND(VLOOKUP($P45&amp;"_Docente",Parametros_Orcam!$A:$H,COLUMN(Parametros_Orcam!G$16),0)*$T45,0),
IF($G45="B",ROUND(IF(OR($M45="Outra OI",$M45="Outra Fonte"),VLOOKUP($O45&amp;"_"&amp;$N45,Parametros_Orcam!$A:$H,COLUMN(Parametros_Orcam!$G$1),0)*$T45,0),0),0))),0)</f>
        <v>0</v>
      </c>
      <c r="X45" s="289">
        <f>IFERROR(IF($G45="D",ROUND(VLOOKUP($P45&amp;"_Docente",Parametros_Orcam!$A:$H,COLUMN(Parametros_Orcam!H$16),0)*(1+VLOOKUP($L45,IES,2,0)%+VLOOKUP($L45,IES,3,0)%)/1.25*$T45*$R45,0),
IF($G45="B",ROUND(VLOOKUP($O45&amp;"_"&amp;$N45,Parametros_Orcam!$A:$H,COLUMN(Parametros_Orcam!H$16),0)*$T45*$R45,0),0)),0)</f>
        <v>0</v>
      </c>
      <c r="Y45" s="289">
        <f t="shared" si="17"/>
        <v>0</v>
      </c>
      <c r="Z45" s="289" t="str">
        <f>IF(LEN($P45)&lt;2,"",$T45*INDEX(Dados_Gerais!$H$36:$H$41,MATCH($P45,Dados_Gerais!$D$36:$D$41,0)))</f>
        <v/>
      </c>
      <c r="AA45" s="86"/>
      <c r="AB45" s="181" t="str">
        <f t="shared" si="18"/>
        <v/>
      </c>
      <c r="AC45" s="86"/>
      <c r="AD45" s="181" t="str">
        <f t="shared" si="19"/>
        <v/>
      </c>
      <c r="AE45" s="242">
        <f t="shared" si="20"/>
        <v>0</v>
      </c>
      <c r="AF45" s="242">
        <f t="shared" si="21"/>
        <v>0</v>
      </c>
      <c r="AG45" s="78" t="str">
        <f t="shared" si="22"/>
        <v>C</v>
      </c>
    </row>
    <row r="46" spans="1:33" s="4" customFormat="1" ht="15.95" hidden="1" customHeight="1">
      <c r="A46" s="86" t="str">
        <f t="shared" si="12"/>
        <v>X</v>
      </c>
      <c r="B46" s="55" t="str">
        <f t="shared" si="13"/>
        <v/>
      </c>
      <c r="C46" s="86" t="str">
        <f>IFERROR(IF($G46="B",INDEX(Parametros_Orcam!$E$39:$E$43,MATCH($N46,Parametros_Orcam!$C$39:$C$43,0)),"")," ")</f>
        <v/>
      </c>
      <c r="D46" s="86" t="str">
        <f>IFERROR(INDEX(Parametros_Orcam!$C$5:$C$14,MATCH($Q46,Parametros_Orcam!$D$5:$D$14,0))," ")</f>
        <v xml:space="preserve"> </v>
      </c>
      <c r="E46" s="86">
        <f t="shared" si="14"/>
        <v>0</v>
      </c>
      <c r="F46" s="86" t="s">
        <v>190</v>
      </c>
      <c r="G46" s="286"/>
      <c r="H46" s="544"/>
      <c r="I46" s="544"/>
      <c r="J46" s="542"/>
      <c r="K46" s="542"/>
      <c r="L46" s="542"/>
      <c r="M46" s="544"/>
      <c r="N46" s="542"/>
      <c r="O46" s="545"/>
      <c r="P46" s="413"/>
      <c r="Q46" s="542"/>
      <c r="R46" s="546"/>
      <c r="S46" s="543"/>
      <c r="T46" s="292">
        <f t="shared" si="15"/>
        <v>0</v>
      </c>
      <c r="U46" s="292" t="str">
        <f t="shared" si="16"/>
        <v/>
      </c>
      <c r="V46" s="289">
        <f>IFERROR(IF($G46="C",IF(OR($M46="OI Geral",$M46="OI EC"),ROUND(VLOOKUP($O46&amp;"_Contratado",Parametros_Orcam!$A:$H,COLUMN(Parametros_Orcam!$G$1),0)*$T46,0),0),
IF($G46="B",ROUND(IF(OR($M46="OI Geral",$M46="OI EC"),VLOOKUP($O46&amp;"_"&amp;$N46,Parametros_Orcam!$A:$H,COLUMN(Parametros_Orcam!$G$1),0)*$T46,0),0),
IF($G46="B",ROUND(IF(OR($M46="OI Geral",$M46="OI EC"),VLOOKUP($O46&amp;"_"&amp;$N46,Parametros_Orcam!$A:$H,COLUMN(Parametros_Orcam!$G$1),0)*$T46,0),0),0))),0)</f>
        <v>0</v>
      </c>
      <c r="W46" s="289">
        <f>IFERROR(IF($G46="C",IF(OR($M46="Outra OI",$M46="Outra Fonte"),ROUND(VLOOKUP($O46&amp;"_Contratado",Parametros_Orcam!$A:$H,COLUMN(Parametros_Orcam!$G$1),0)*$T46,0),0),
IF($G46="D",ROUND(VLOOKUP($P46&amp;"_Docente",Parametros_Orcam!$A:$H,COLUMN(Parametros_Orcam!G$16),0)*$T46,0),
IF($G46="B",ROUND(IF(OR($M46="Outra OI",$M46="Outra Fonte"),VLOOKUP($O46&amp;"_"&amp;$N46,Parametros_Orcam!$A:$H,COLUMN(Parametros_Orcam!$G$1),0)*$T46,0),0),0))),0)</f>
        <v>0</v>
      </c>
      <c r="X46" s="289">
        <f>IFERROR(IF($G46="D",ROUND(VLOOKUP($P46&amp;"_Docente",Parametros_Orcam!$A:$H,COLUMN(Parametros_Orcam!H$16),0)*(1+VLOOKUP($L46,IES,2,0)%+VLOOKUP($L46,IES,3,0)%)/1.25*$T46*$R46,0),
IF($G46="B",ROUND(VLOOKUP($O46&amp;"_"&amp;$N46,Parametros_Orcam!$A:$H,COLUMN(Parametros_Orcam!H$16),0)*$T46*$R46,0),0)),0)</f>
        <v>0</v>
      </c>
      <c r="Y46" s="289">
        <f t="shared" si="17"/>
        <v>0</v>
      </c>
      <c r="Z46" s="289" t="str">
        <f>IF(LEN($P46)&lt;2,"",$T46*INDEX(Dados_Gerais!$H$36:$H$41,MATCH($P46,Dados_Gerais!$D$36:$D$41,0)))</f>
        <v/>
      </c>
      <c r="AA46" s="86"/>
      <c r="AB46" s="181" t="str">
        <f t="shared" si="18"/>
        <v/>
      </c>
      <c r="AC46" s="86"/>
      <c r="AD46" s="181" t="str">
        <f t="shared" si="19"/>
        <v/>
      </c>
      <c r="AE46" s="242">
        <f t="shared" si="20"/>
        <v>0</v>
      </c>
      <c r="AF46" s="242">
        <f t="shared" si="21"/>
        <v>0</v>
      </c>
      <c r="AG46" s="78" t="str">
        <f t="shared" si="22"/>
        <v>C</v>
      </c>
    </row>
    <row r="47" spans="1:33" s="4" customFormat="1" ht="15.95" hidden="1" customHeight="1">
      <c r="A47" s="86" t="str">
        <f t="shared" si="12"/>
        <v>X</v>
      </c>
      <c r="B47" s="55" t="str">
        <f t="shared" si="13"/>
        <v/>
      </c>
      <c r="C47" s="86" t="str">
        <f>IFERROR(IF($G47="B",INDEX(Parametros_Orcam!$E$39:$E$43,MATCH($N47,Parametros_Orcam!$C$39:$C$43,0)),"")," ")</f>
        <v/>
      </c>
      <c r="D47" s="86" t="str">
        <f>IFERROR(INDEX(Parametros_Orcam!$C$5:$C$14,MATCH($Q47,Parametros_Orcam!$D$5:$D$14,0))," ")</f>
        <v xml:space="preserve"> </v>
      </c>
      <c r="E47" s="86">
        <f t="shared" si="14"/>
        <v>0</v>
      </c>
      <c r="F47" s="86" t="s">
        <v>190</v>
      </c>
      <c r="G47" s="286"/>
      <c r="H47" s="544"/>
      <c r="I47" s="544"/>
      <c r="J47" s="542"/>
      <c r="K47" s="542"/>
      <c r="L47" s="542"/>
      <c r="M47" s="544"/>
      <c r="N47" s="542"/>
      <c r="O47" s="545"/>
      <c r="P47" s="413"/>
      <c r="Q47" s="542"/>
      <c r="R47" s="546"/>
      <c r="S47" s="543"/>
      <c r="T47" s="292">
        <f t="shared" si="15"/>
        <v>0</v>
      </c>
      <c r="U47" s="292" t="str">
        <f t="shared" si="16"/>
        <v/>
      </c>
      <c r="V47" s="289">
        <f>IFERROR(IF($G47="C",IF(OR($M47="OI Geral",$M47="OI EC"),ROUND(VLOOKUP($O47&amp;"_Contratado",Parametros_Orcam!$A:$H,COLUMN(Parametros_Orcam!$G$1),0)*$T47,0),0),
IF($G47="B",ROUND(IF(OR($M47="OI Geral",$M47="OI EC"),VLOOKUP($O47&amp;"_"&amp;$N47,Parametros_Orcam!$A:$H,COLUMN(Parametros_Orcam!$G$1),0)*$T47,0),0),
IF($G47="B",ROUND(IF(OR($M47="OI Geral",$M47="OI EC"),VLOOKUP($O47&amp;"_"&amp;$N47,Parametros_Orcam!$A:$H,COLUMN(Parametros_Orcam!$G$1),0)*$T47,0),0),0))),0)</f>
        <v>0</v>
      </c>
      <c r="W47" s="289">
        <f>IFERROR(IF($G47="C",IF(OR($M47="Outra OI",$M47="Outra Fonte"),ROUND(VLOOKUP($O47&amp;"_Contratado",Parametros_Orcam!$A:$H,COLUMN(Parametros_Orcam!$G$1),0)*$T47,0),0),
IF($G47="D",ROUND(VLOOKUP($P47&amp;"_Docente",Parametros_Orcam!$A:$H,COLUMN(Parametros_Orcam!G$16),0)*$T47,0),
IF($G47="B",ROUND(IF(OR($M47="Outra OI",$M47="Outra Fonte"),VLOOKUP($O47&amp;"_"&amp;$N47,Parametros_Orcam!$A:$H,COLUMN(Parametros_Orcam!$G$1),0)*$T47,0),0),0))),0)</f>
        <v>0</v>
      </c>
      <c r="X47" s="289">
        <f>IFERROR(IF($G47="D",ROUND(VLOOKUP($P47&amp;"_Docente",Parametros_Orcam!$A:$H,COLUMN(Parametros_Orcam!H$16),0)*(1+VLOOKUP($L47,IES,2,0)%+VLOOKUP($L47,IES,3,0)%)/1.25*$T47*$R47,0),
IF($G47="B",ROUND(VLOOKUP($O47&amp;"_"&amp;$N47,Parametros_Orcam!$A:$H,COLUMN(Parametros_Orcam!H$16),0)*$T47*$R47,0),0)),0)</f>
        <v>0</v>
      </c>
      <c r="Y47" s="289">
        <f t="shared" si="17"/>
        <v>0</v>
      </c>
      <c r="Z47" s="289" t="str">
        <f>IF(LEN($P47)&lt;2,"",$T47*INDEX(Dados_Gerais!$H$36:$H$41,MATCH($P47,Dados_Gerais!$D$36:$D$41,0)))</f>
        <v/>
      </c>
      <c r="AA47" s="86"/>
      <c r="AB47" s="181" t="str">
        <f t="shared" si="18"/>
        <v/>
      </c>
      <c r="AC47" s="86"/>
      <c r="AD47" s="181" t="str">
        <f t="shared" si="19"/>
        <v/>
      </c>
      <c r="AE47" s="242">
        <f t="shared" si="20"/>
        <v>0</v>
      </c>
      <c r="AF47" s="242">
        <f t="shared" si="21"/>
        <v>0</v>
      </c>
      <c r="AG47" s="78" t="str">
        <f t="shared" si="22"/>
        <v>C</v>
      </c>
    </row>
    <row r="48" spans="1:33" s="4" customFormat="1" ht="15.95" hidden="1" customHeight="1">
      <c r="A48" s="86" t="str">
        <f t="shared" si="12"/>
        <v>X</v>
      </c>
      <c r="B48" s="55" t="str">
        <f t="shared" si="13"/>
        <v/>
      </c>
      <c r="C48" s="86" t="str">
        <f>IFERROR(IF($G48="B",INDEX(Parametros_Orcam!$E$39:$E$43,MATCH($N48,Parametros_Orcam!$C$39:$C$43,0)),"")," ")</f>
        <v/>
      </c>
      <c r="D48" s="86" t="str">
        <f>IFERROR(INDEX(Parametros_Orcam!$C$5:$C$14,MATCH($Q48,Parametros_Orcam!$D$5:$D$14,0))," ")</f>
        <v xml:space="preserve"> </v>
      </c>
      <c r="E48" s="86">
        <f t="shared" si="14"/>
        <v>0</v>
      </c>
      <c r="F48" s="86" t="s">
        <v>190</v>
      </c>
      <c r="G48" s="286"/>
      <c r="H48" s="544"/>
      <c r="I48" s="544"/>
      <c r="J48" s="542"/>
      <c r="K48" s="542"/>
      <c r="L48" s="542"/>
      <c r="M48" s="544"/>
      <c r="N48" s="542"/>
      <c r="O48" s="545"/>
      <c r="P48" s="413"/>
      <c r="Q48" s="542"/>
      <c r="R48" s="546"/>
      <c r="S48" s="543"/>
      <c r="T48" s="292">
        <f t="shared" si="15"/>
        <v>0</v>
      </c>
      <c r="U48" s="292" t="str">
        <f t="shared" si="16"/>
        <v/>
      </c>
      <c r="V48" s="289">
        <f>IFERROR(IF($G48="C",IF(OR($M48="OI Geral",$M48="OI EC"),ROUND(VLOOKUP($O48&amp;"_Contratado",Parametros_Orcam!$A:$H,COLUMN(Parametros_Orcam!$G$1),0)*$T48,0),0),
IF($G48="B",ROUND(IF(OR($M48="OI Geral",$M48="OI EC"),VLOOKUP($O48&amp;"_"&amp;$N48,Parametros_Orcam!$A:$H,COLUMN(Parametros_Orcam!$G$1),0)*$T48,0),0),
IF($G48="B",ROUND(IF(OR($M48="OI Geral",$M48="OI EC"),VLOOKUP($O48&amp;"_"&amp;$N48,Parametros_Orcam!$A:$H,COLUMN(Parametros_Orcam!$G$1),0)*$T48,0),0),0))),0)</f>
        <v>0</v>
      </c>
      <c r="W48" s="289">
        <f>IFERROR(IF($G48="C",IF(OR($M48="Outra OI",$M48="Outra Fonte"),ROUND(VLOOKUP($O48&amp;"_Contratado",Parametros_Orcam!$A:$H,COLUMN(Parametros_Orcam!$G$1),0)*$T48,0),0),
IF($G48="D",ROUND(VLOOKUP($P48&amp;"_Docente",Parametros_Orcam!$A:$H,COLUMN(Parametros_Orcam!G$16),0)*$T48,0),
IF($G48="B",ROUND(IF(OR($M48="Outra OI",$M48="Outra Fonte"),VLOOKUP($O48&amp;"_"&amp;$N48,Parametros_Orcam!$A:$H,COLUMN(Parametros_Orcam!$G$1),0)*$T48,0),0),0))),0)</f>
        <v>0</v>
      </c>
      <c r="X48" s="289">
        <f>IFERROR(IF($G48="D",ROUND(VLOOKUP($P48&amp;"_Docente",Parametros_Orcam!$A:$H,COLUMN(Parametros_Orcam!H$16),0)*(1+VLOOKUP($L48,IES,2,0)%+VLOOKUP($L48,IES,3,0)%)/1.25*$T48*$R48,0),
IF($G48="B",ROUND(VLOOKUP($O48&amp;"_"&amp;$N48,Parametros_Orcam!$A:$H,COLUMN(Parametros_Orcam!H$16),0)*$T48*$R48,0),0)),0)</f>
        <v>0</v>
      </c>
      <c r="Y48" s="289">
        <f t="shared" si="17"/>
        <v>0</v>
      </c>
      <c r="Z48" s="289" t="str">
        <f>IF(LEN($P48)&lt;2,"",$T48*INDEX(Dados_Gerais!$H$36:$H$41,MATCH($P48,Dados_Gerais!$D$36:$D$41,0)))</f>
        <v/>
      </c>
      <c r="AA48" s="86"/>
      <c r="AB48" s="181" t="str">
        <f t="shared" si="18"/>
        <v/>
      </c>
      <c r="AC48" s="86"/>
      <c r="AD48" s="181" t="str">
        <f t="shared" si="19"/>
        <v/>
      </c>
      <c r="AE48" s="242">
        <f t="shared" si="20"/>
        <v>0</v>
      </c>
      <c r="AF48" s="242">
        <f t="shared" si="21"/>
        <v>0</v>
      </c>
      <c r="AG48" s="78" t="str">
        <f t="shared" si="22"/>
        <v>C</v>
      </c>
    </row>
    <row r="49" spans="1:42" s="4" customFormat="1" ht="15.95" hidden="1" customHeight="1">
      <c r="A49" s="86" t="str">
        <f t="shared" si="12"/>
        <v>X</v>
      </c>
      <c r="B49" s="55" t="str">
        <f t="shared" si="13"/>
        <v/>
      </c>
      <c r="C49" s="86" t="str">
        <f>IFERROR(IF($G49="B",INDEX(Parametros_Orcam!$E$39:$E$43,MATCH($N49,Parametros_Orcam!$C$39:$C$43,0)),"")," ")</f>
        <v/>
      </c>
      <c r="D49" s="86" t="str">
        <f>IFERROR(INDEX(Parametros_Orcam!$C$5:$C$14,MATCH($Q49,Parametros_Orcam!$D$5:$D$14,0))," ")</f>
        <v xml:space="preserve"> </v>
      </c>
      <c r="E49" s="86">
        <f t="shared" si="14"/>
        <v>0</v>
      </c>
      <c r="F49" s="86" t="s">
        <v>190</v>
      </c>
      <c r="G49" s="286"/>
      <c r="H49" s="544"/>
      <c r="I49" s="544"/>
      <c r="J49" s="542"/>
      <c r="K49" s="542"/>
      <c r="L49" s="542"/>
      <c r="M49" s="544"/>
      <c r="N49" s="542"/>
      <c r="O49" s="545"/>
      <c r="P49" s="413"/>
      <c r="Q49" s="542"/>
      <c r="R49" s="546"/>
      <c r="S49" s="543"/>
      <c r="T49" s="292">
        <f t="shared" si="15"/>
        <v>0</v>
      </c>
      <c r="U49" s="292" t="str">
        <f t="shared" si="16"/>
        <v/>
      </c>
      <c r="V49" s="289">
        <f>IFERROR(IF($G49="C",IF(OR($M49="OI Geral",$M49="OI EC"),ROUND(VLOOKUP($O49&amp;"_Contratado",Parametros_Orcam!$A:$H,COLUMN(Parametros_Orcam!$G$1),0)*$T49,0),0),
IF($G49="B",ROUND(IF(OR($M49="OI Geral",$M49="OI EC"),VLOOKUP($O49&amp;"_"&amp;$N49,Parametros_Orcam!$A:$H,COLUMN(Parametros_Orcam!$G$1),0)*$T49,0),0),
IF($G49="B",ROUND(IF(OR($M49="OI Geral",$M49="OI EC"),VLOOKUP($O49&amp;"_"&amp;$N49,Parametros_Orcam!$A:$H,COLUMN(Parametros_Orcam!$G$1),0)*$T49,0),0),0))),0)</f>
        <v>0</v>
      </c>
      <c r="W49" s="289">
        <f>IFERROR(IF($G49="C",IF(OR($M49="Outra OI",$M49="Outra Fonte"),ROUND(VLOOKUP($O49&amp;"_Contratado",Parametros_Orcam!$A:$H,COLUMN(Parametros_Orcam!$G$1),0)*$T49,0),0),
IF($G49="D",ROUND(VLOOKUP($P49&amp;"_Docente",Parametros_Orcam!$A:$H,COLUMN(Parametros_Orcam!G$16),0)*$T49,0),
IF($G49="B",ROUND(IF(OR($M49="Outra OI",$M49="Outra Fonte"),VLOOKUP($O49&amp;"_"&amp;$N49,Parametros_Orcam!$A:$H,COLUMN(Parametros_Orcam!$G$1),0)*$T49,0),0),0))),0)</f>
        <v>0</v>
      </c>
      <c r="X49" s="289">
        <f>IFERROR(IF($G49="D",ROUND(VLOOKUP($P49&amp;"_Docente",Parametros_Orcam!$A:$H,COLUMN(Parametros_Orcam!H$16),0)*(1+VLOOKUP($L49,IES,2,0)%+VLOOKUP($L49,IES,3,0)%)/1.25*$T49*$R49,0),
IF($G49="B",ROUND(VLOOKUP($O49&amp;"_"&amp;$N49,Parametros_Orcam!$A:$H,COLUMN(Parametros_Orcam!H$16),0)*$T49*$R49,0),0)),0)</f>
        <v>0</v>
      </c>
      <c r="Y49" s="289">
        <f t="shared" si="17"/>
        <v>0</v>
      </c>
      <c r="Z49" s="289" t="str">
        <f>IF(LEN($P49)&lt;2,"",$T49*INDEX(Dados_Gerais!$H$36:$H$41,MATCH($P49,Dados_Gerais!$D$36:$D$41,0)))</f>
        <v/>
      </c>
      <c r="AA49" s="86"/>
      <c r="AB49" s="181" t="str">
        <f t="shared" si="18"/>
        <v/>
      </c>
      <c r="AC49" s="86"/>
      <c r="AD49" s="181" t="str">
        <f t="shared" si="19"/>
        <v/>
      </c>
      <c r="AE49" s="242">
        <f t="shared" si="20"/>
        <v>0</v>
      </c>
      <c r="AF49" s="242">
        <f t="shared" si="21"/>
        <v>0</v>
      </c>
      <c r="AG49" s="78" t="str">
        <f t="shared" si="22"/>
        <v>C</v>
      </c>
    </row>
    <row r="50" spans="1:42" s="4" customFormat="1" ht="15.95" hidden="1" customHeight="1">
      <c r="A50" s="86" t="str">
        <f t="shared" si="12"/>
        <v>X</v>
      </c>
      <c r="B50" s="55" t="str">
        <f t="shared" si="13"/>
        <v/>
      </c>
      <c r="C50" s="86" t="str">
        <f>IFERROR(IF($G50="B",INDEX(Parametros_Orcam!$E$39:$E$43,MATCH($N50,Parametros_Orcam!$C$39:$C$43,0)),"")," ")</f>
        <v/>
      </c>
      <c r="D50" s="86" t="str">
        <f>IFERROR(INDEX(Parametros_Orcam!$C$5:$C$14,MATCH($Q50,Parametros_Orcam!$D$5:$D$14,0))," ")</f>
        <v xml:space="preserve"> </v>
      </c>
      <c r="E50" s="86">
        <f t="shared" si="14"/>
        <v>0</v>
      </c>
      <c r="F50" s="86" t="s">
        <v>190</v>
      </c>
      <c r="G50" s="286"/>
      <c r="H50" s="544"/>
      <c r="I50" s="544"/>
      <c r="J50" s="542"/>
      <c r="K50" s="542"/>
      <c r="L50" s="542"/>
      <c r="M50" s="544"/>
      <c r="N50" s="542"/>
      <c r="O50" s="545"/>
      <c r="P50" s="413"/>
      <c r="Q50" s="542"/>
      <c r="R50" s="546"/>
      <c r="S50" s="543"/>
      <c r="T50" s="292">
        <f t="shared" si="15"/>
        <v>0</v>
      </c>
      <c r="U50" s="292" t="str">
        <f t="shared" si="16"/>
        <v/>
      </c>
      <c r="V50" s="289">
        <f>IFERROR(IF($G50="C",IF(OR($M50="OI Geral",$M50="OI EC"),ROUND(VLOOKUP($O50&amp;"_Contratado",Parametros_Orcam!$A:$H,COLUMN(Parametros_Orcam!$G$1),0)*$T50,0),0),
IF($G50="B",ROUND(IF(OR($M50="OI Geral",$M50="OI EC"),VLOOKUP($O50&amp;"_"&amp;$N50,Parametros_Orcam!$A:$H,COLUMN(Parametros_Orcam!$G$1),0)*$T50,0),0),
IF($G50="B",ROUND(IF(OR($M50="OI Geral",$M50="OI EC"),VLOOKUP($O50&amp;"_"&amp;$N50,Parametros_Orcam!$A:$H,COLUMN(Parametros_Orcam!$G$1),0)*$T50,0),0),0))),0)</f>
        <v>0</v>
      </c>
      <c r="W50" s="289">
        <f>IFERROR(IF($G50="C",IF(OR($M50="Outra OI",$M50="Outra Fonte"),ROUND(VLOOKUP($O50&amp;"_Contratado",Parametros_Orcam!$A:$H,COLUMN(Parametros_Orcam!$G$1),0)*$T50,0),0),
IF($G50="D",ROUND(VLOOKUP($P50&amp;"_Docente",Parametros_Orcam!$A:$H,COLUMN(Parametros_Orcam!G$16),0)*$T50,0),
IF($G50="B",ROUND(IF(OR($M50="Outra OI",$M50="Outra Fonte"),VLOOKUP($O50&amp;"_"&amp;$N50,Parametros_Orcam!$A:$H,COLUMN(Parametros_Orcam!$G$1),0)*$T50,0),0),0))),0)</f>
        <v>0</v>
      </c>
      <c r="X50" s="289">
        <f>IFERROR(IF($G50="D",ROUND(VLOOKUP($P50&amp;"_Docente",Parametros_Orcam!$A:$H,COLUMN(Parametros_Orcam!H$16),0)*(1+VLOOKUP($L50,IES,2,0)%+VLOOKUP($L50,IES,3,0)%)/1.25*$T50*$R50,0),
IF($G50="B",ROUND(VLOOKUP($O50&amp;"_"&amp;$N50,Parametros_Orcam!$A:$H,COLUMN(Parametros_Orcam!H$16),0)*$T50*$R50,0),0)),0)</f>
        <v>0</v>
      </c>
      <c r="Y50" s="289">
        <f t="shared" si="17"/>
        <v>0</v>
      </c>
      <c r="Z50" s="289" t="str">
        <f>IF(LEN($P50)&lt;2,"",$T50*INDEX(Dados_Gerais!$H$36:$H$41,MATCH($P50,Dados_Gerais!$D$36:$D$41,0)))</f>
        <v/>
      </c>
      <c r="AA50" s="86"/>
      <c r="AB50" s="181" t="str">
        <f t="shared" si="18"/>
        <v/>
      </c>
      <c r="AC50" s="86"/>
      <c r="AD50" s="181" t="str">
        <f t="shared" si="19"/>
        <v/>
      </c>
      <c r="AE50" s="242">
        <f t="shared" si="20"/>
        <v>0</v>
      </c>
      <c r="AF50" s="242">
        <f t="shared" si="21"/>
        <v>0</v>
      </c>
      <c r="AG50" s="78" t="str">
        <f t="shared" si="22"/>
        <v>C</v>
      </c>
    </row>
    <row r="51" spans="1:42" s="4" customFormat="1" ht="15.95" hidden="1" customHeight="1">
      <c r="A51" s="86" t="str">
        <f t="shared" si="12"/>
        <v>X</v>
      </c>
      <c r="B51" s="55" t="str">
        <f t="shared" si="13"/>
        <v/>
      </c>
      <c r="C51" s="86" t="str">
        <f>IFERROR(IF($G51="B",INDEX(Parametros_Orcam!$E$39:$E$43,MATCH($N51,Parametros_Orcam!$C$39:$C$43,0)),"")," ")</f>
        <v/>
      </c>
      <c r="D51" s="86" t="str">
        <f>IFERROR(INDEX(Parametros_Orcam!$C$5:$C$14,MATCH($Q51,Parametros_Orcam!$D$5:$D$14,0))," ")</f>
        <v xml:space="preserve"> </v>
      </c>
      <c r="E51" s="86">
        <f t="shared" si="14"/>
        <v>0</v>
      </c>
      <c r="F51" s="86" t="s">
        <v>190</v>
      </c>
      <c r="G51" s="286"/>
      <c r="H51" s="544"/>
      <c r="I51" s="544"/>
      <c r="J51" s="542"/>
      <c r="K51" s="542"/>
      <c r="L51" s="542"/>
      <c r="M51" s="544"/>
      <c r="N51" s="542"/>
      <c r="O51" s="545"/>
      <c r="P51" s="413"/>
      <c r="Q51" s="542"/>
      <c r="R51" s="546"/>
      <c r="S51" s="543"/>
      <c r="T51" s="292">
        <f t="shared" si="15"/>
        <v>0</v>
      </c>
      <c r="U51" s="292" t="str">
        <f t="shared" si="16"/>
        <v/>
      </c>
      <c r="V51" s="289">
        <f>IFERROR(IF($G51="C",IF(OR($M51="OI Geral",$M51="OI EC"),ROUND(VLOOKUP($O51&amp;"_Contratado",Parametros_Orcam!$A:$H,COLUMN(Parametros_Orcam!$G$1),0)*$T51,0),0),
IF($G51="B",ROUND(IF(OR($M51="OI Geral",$M51="OI EC"),VLOOKUP($O51&amp;"_"&amp;$N51,Parametros_Orcam!$A:$H,COLUMN(Parametros_Orcam!$G$1),0)*$T51,0),0),
IF($G51="B",ROUND(IF(OR($M51="OI Geral",$M51="OI EC"),VLOOKUP($O51&amp;"_"&amp;$N51,Parametros_Orcam!$A:$H,COLUMN(Parametros_Orcam!$G$1),0)*$T51,0),0),0))),0)</f>
        <v>0</v>
      </c>
      <c r="W51" s="289">
        <f>IFERROR(IF($G51="C",IF(OR($M51="Outra OI",$M51="Outra Fonte"),ROUND(VLOOKUP($O51&amp;"_Contratado",Parametros_Orcam!$A:$H,COLUMN(Parametros_Orcam!$G$1),0)*$T51,0),0),
IF($G51="D",ROUND(VLOOKUP($P51&amp;"_Docente",Parametros_Orcam!$A:$H,COLUMN(Parametros_Orcam!G$16),0)*$T51,0),
IF($G51="B",ROUND(IF(OR($M51="Outra OI",$M51="Outra Fonte"),VLOOKUP($O51&amp;"_"&amp;$N51,Parametros_Orcam!$A:$H,COLUMN(Parametros_Orcam!$G$1),0)*$T51,0),0),0))),0)</f>
        <v>0</v>
      </c>
      <c r="X51" s="289">
        <f>IFERROR(IF($G51="D",ROUND(VLOOKUP($P51&amp;"_Docente",Parametros_Orcam!$A:$H,COLUMN(Parametros_Orcam!H$16),0)*(1+VLOOKUP($L51,IES,2,0)%+VLOOKUP($L51,IES,3,0)%)/1.25*$T51*$R51,0),
IF($G51="B",ROUND(VLOOKUP($O51&amp;"_"&amp;$N51,Parametros_Orcam!$A:$H,COLUMN(Parametros_Orcam!H$16),0)*$T51*$R51,0),0)),0)</f>
        <v>0</v>
      </c>
      <c r="Y51" s="289">
        <f t="shared" si="17"/>
        <v>0</v>
      </c>
      <c r="Z51" s="289" t="str">
        <f>IF(LEN($P51)&lt;2,"",$T51*INDEX(Dados_Gerais!$H$36:$H$41,MATCH($P51,Dados_Gerais!$D$36:$D$41,0)))</f>
        <v/>
      </c>
      <c r="AA51" s="86"/>
      <c r="AB51" s="181" t="str">
        <f t="shared" si="18"/>
        <v/>
      </c>
      <c r="AC51" s="86"/>
      <c r="AD51" s="181" t="str">
        <f t="shared" si="19"/>
        <v/>
      </c>
      <c r="AE51" s="242">
        <f t="shared" si="20"/>
        <v>0</v>
      </c>
      <c r="AF51" s="242">
        <f t="shared" si="21"/>
        <v>0</v>
      </c>
      <c r="AG51" s="78" t="str">
        <f t="shared" si="22"/>
        <v>C</v>
      </c>
    </row>
    <row r="52" spans="1:42" s="4" customFormat="1" ht="15.95" hidden="1" customHeight="1">
      <c r="A52" s="86" t="str">
        <f t="shared" si="12"/>
        <v>X</v>
      </c>
      <c r="B52" s="55" t="str">
        <f t="shared" si="13"/>
        <v/>
      </c>
      <c r="C52" s="86" t="str">
        <f>IFERROR(IF($G52="B",INDEX(Parametros_Orcam!$E$39:$E$43,MATCH($N52,Parametros_Orcam!$C$39:$C$43,0)),"")," ")</f>
        <v/>
      </c>
      <c r="D52" s="86" t="str">
        <f>IFERROR(INDEX(Parametros_Orcam!$C$5:$C$14,MATCH($Q52,Parametros_Orcam!$D$5:$D$14,0))," ")</f>
        <v xml:space="preserve"> </v>
      </c>
      <c r="E52" s="86">
        <f t="shared" si="14"/>
        <v>0</v>
      </c>
      <c r="F52" s="86" t="s">
        <v>190</v>
      </c>
      <c r="G52" s="286"/>
      <c r="H52" s="544"/>
      <c r="I52" s="544"/>
      <c r="J52" s="542"/>
      <c r="K52" s="542"/>
      <c r="L52" s="542"/>
      <c r="M52" s="544"/>
      <c r="N52" s="542"/>
      <c r="O52" s="545"/>
      <c r="P52" s="413"/>
      <c r="Q52" s="542"/>
      <c r="R52" s="546"/>
      <c r="S52" s="543"/>
      <c r="T52" s="292">
        <f t="shared" si="15"/>
        <v>0</v>
      </c>
      <c r="U52" s="292" t="str">
        <f t="shared" si="16"/>
        <v/>
      </c>
      <c r="V52" s="289">
        <f>IFERROR(IF($G52="C",IF(OR($M52="OI Geral",$M52="OI EC"),ROUND(VLOOKUP($O52&amp;"_Contratado",Parametros_Orcam!$A:$H,COLUMN(Parametros_Orcam!$G$1),0)*$T52,0),0),
IF($G52="B",ROUND(IF(OR($M52="OI Geral",$M52="OI EC"),VLOOKUP($O52&amp;"_"&amp;$N52,Parametros_Orcam!$A:$H,COLUMN(Parametros_Orcam!$G$1),0)*$T52,0),0),
IF($G52="B",ROUND(IF(OR($M52="OI Geral",$M52="OI EC"),VLOOKUP($O52&amp;"_"&amp;$N52,Parametros_Orcam!$A:$H,COLUMN(Parametros_Orcam!$G$1),0)*$T52,0),0),0))),0)</f>
        <v>0</v>
      </c>
      <c r="W52" s="289">
        <f>IFERROR(IF($G52="C",IF(OR($M52="Outra OI",$M52="Outra Fonte"),ROUND(VLOOKUP($O52&amp;"_Contratado",Parametros_Orcam!$A:$H,COLUMN(Parametros_Orcam!$G$1),0)*$T52,0),0),
IF($G52="D",ROUND(VLOOKUP($P52&amp;"_Docente",Parametros_Orcam!$A:$H,COLUMN(Parametros_Orcam!G$16),0)*$T52,0),
IF($G52="B",ROUND(IF(OR($M52="Outra OI",$M52="Outra Fonte"),VLOOKUP($O52&amp;"_"&amp;$N52,Parametros_Orcam!$A:$H,COLUMN(Parametros_Orcam!$G$1),0)*$T52,0),0),0))),0)</f>
        <v>0</v>
      </c>
      <c r="X52" s="289">
        <f>IFERROR(IF($G52="D",ROUND(VLOOKUP($P52&amp;"_Docente",Parametros_Orcam!$A:$H,COLUMN(Parametros_Orcam!H$16),0)*(1+VLOOKUP($L52,IES,2,0)%+VLOOKUP($L52,IES,3,0)%)/1.25*$T52*$R52,0),
IF($G52="B",ROUND(VLOOKUP($O52&amp;"_"&amp;$N52,Parametros_Orcam!$A:$H,COLUMN(Parametros_Orcam!H$16),0)*$T52*$R52,0),0)),0)</f>
        <v>0</v>
      </c>
      <c r="Y52" s="289">
        <f t="shared" si="17"/>
        <v>0</v>
      </c>
      <c r="Z52" s="289" t="str">
        <f>IF(LEN($P52)&lt;2,"",$T52*INDEX(Dados_Gerais!$H$36:$H$41,MATCH($P52,Dados_Gerais!$D$36:$D$41,0)))</f>
        <v/>
      </c>
      <c r="AA52" s="86"/>
      <c r="AB52" s="181" t="str">
        <f t="shared" si="18"/>
        <v/>
      </c>
      <c r="AC52" s="86"/>
      <c r="AD52" s="181" t="str">
        <f t="shared" si="19"/>
        <v/>
      </c>
      <c r="AE52" s="242">
        <f t="shared" si="20"/>
        <v>0</v>
      </c>
      <c r="AF52" s="242">
        <f t="shared" si="21"/>
        <v>0</v>
      </c>
      <c r="AG52" s="78" t="str">
        <f t="shared" si="22"/>
        <v>C</v>
      </c>
    </row>
    <row r="53" spans="1:42" s="4" customFormat="1" ht="15.95" hidden="1" customHeight="1">
      <c r="A53" s="86" t="str">
        <f t="shared" si="12"/>
        <v>X</v>
      </c>
      <c r="B53" s="55" t="str">
        <f t="shared" si="13"/>
        <v/>
      </c>
      <c r="C53" s="86" t="str">
        <f>IFERROR(IF($G53="B",INDEX(Parametros_Orcam!$E$39:$E$43,MATCH($N53,Parametros_Orcam!$C$39:$C$43,0)),"")," ")</f>
        <v/>
      </c>
      <c r="D53" s="86" t="str">
        <f>IFERROR(INDEX(Parametros_Orcam!$C$5:$C$14,MATCH($Q53,Parametros_Orcam!$D$5:$D$14,0))," ")</f>
        <v xml:space="preserve"> </v>
      </c>
      <c r="E53" s="86">
        <f t="shared" si="14"/>
        <v>0</v>
      </c>
      <c r="F53" s="86" t="s">
        <v>190</v>
      </c>
      <c r="G53" s="286"/>
      <c r="H53" s="544"/>
      <c r="I53" s="544"/>
      <c r="J53" s="542"/>
      <c r="K53" s="542"/>
      <c r="L53" s="542"/>
      <c r="M53" s="544"/>
      <c r="N53" s="542"/>
      <c r="O53" s="545"/>
      <c r="P53" s="413"/>
      <c r="Q53" s="542"/>
      <c r="R53" s="546"/>
      <c r="S53" s="543"/>
      <c r="T53" s="292">
        <f t="shared" si="15"/>
        <v>0</v>
      </c>
      <c r="U53" s="292" t="str">
        <f t="shared" si="16"/>
        <v/>
      </c>
      <c r="V53" s="289">
        <f>IFERROR(IF($G53="C",IF(OR($M53="OI Geral",$M53="OI EC"),ROUND(VLOOKUP($O53&amp;"_Contratado",Parametros_Orcam!$A:$H,COLUMN(Parametros_Orcam!$G$1),0)*$T53,0),0),
IF($G53="B",ROUND(IF(OR($M53="OI Geral",$M53="OI EC"),VLOOKUP($O53&amp;"_"&amp;$N53,Parametros_Orcam!$A:$H,COLUMN(Parametros_Orcam!$G$1),0)*$T53,0),0),
IF($G53="B",ROUND(IF(OR($M53="OI Geral",$M53="OI EC"),VLOOKUP($O53&amp;"_"&amp;$N53,Parametros_Orcam!$A:$H,COLUMN(Parametros_Orcam!$G$1),0)*$T53,0),0),0))),0)</f>
        <v>0</v>
      </c>
      <c r="W53" s="289">
        <f>IFERROR(IF($G53="C",IF(OR($M53="Outra OI",$M53="Outra Fonte"),ROUND(VLOOKUP($O53&amp;"_Contratado",Parametros_Orcam!$A:$H,COLUMN(Parametros_Orcam!$G$1),0)*$T53,0),0),
IF($G53="D",ROUND(VLOOKUP($P53&amp;"_Docente",Parametros_Orcam!$A:$H,COLUMN(Parametros_Orcam!G$16),0)*$T53,0),
IF($G53="B",ROUND(IF(OR($M53="Outra OI",$M53="Outra Fonte"),VLOOKUP($O53&amp;"_"&amp;$N53,Parametros_Orcam!$A:$H,COLUMN(Parametros_Orcam!$G$1),0)*$T53,0),0),0))),0)</f>
        <v>0</v>
      </c>
      <c r="X53" s="289">
        <f>IFERROR(IF($G53="D",ROUND(VLOOKUP($P53&amp;"_Docente",Parametros_Orcam!$A:$H,COLUMN(Parametros_Orcam!H$16),0)*(1+VLOOKUP($L53,IES,2,0)%+VLOOKUP($L53,IES,3,0)%)/1.25*$T53*$R53,0),
IF($G53="B",ROUND(VLOOKUP($O53&amp;"_"&amp;$N53,Parametros_Orcam!$A:$H,COLUMN(Parametros_Orcam!H$16),0)*$T53*$R53,0),0)),0)</f>
        <v>0</v>
      </c>
      <c r="Y53" s="289">
        <f t="shared" si="17"/>
        <v>0</v>
      </c>
      <c r="Z53" s="289" t="str">
        <f>IF(LEN($P53)&lt;2,"",$T53*INDEX(Dados_Gerais!$H$36:$H$41,MATCH($P53,Dados_Gerais!$D$36:$D$41,0)))</f>
        <v/>
      </c>
      <c r="AA53" s="86"/>
      <c r="AB53" s="181" t="str">
        <f t="shared" si="18"/>
        <v/>
      </c>
      <c r="AC53" s="86"/>
      <c r="AD53" s="181" t="str">
        <f t="shared" si="19"/>
        <v/>
      </c>
      <c r="AE53" s="242">
        <f t="shared" si="20"/>
        <v>0</v>
      </c>
      <c r="AF53" s="242">
        <f t="shared" si="21"/>
        <v>0</v>
      </c>
      <c r="AG53" s="78" t="str">
        <f t="shared" si="22"/>
        <v>C</v>
      </c>
    </row>
    <row r="54" spans="1:42" s="4" customFormat="1" ht="15.95" hidden="1" customHeight="1">
      <c r="A54" s="86" t="str">
        <f t="shared" si="12"/>
        <v>X</v>
      </c>
      <c r="B54" s="55" t="str">
        <f t="shared" si="13"/>
        <v/>
      </c>
      <c r="C54" s="86" t="str">
        <f>IFERROR(IF($G54="B",INDEX(Parametros_Orcam!$E$39:$E$43,MATCH($N54,Parametros_Orcam!$C$39:$C$43,0)),"")," ")</f>
        <v/>
      </c>
      <c r="D54" s="86" t="str">
        <f>IFERROR(INDEX(Parametros_Orcam!$C$5:$C$14,MATCH($Q54,Parametros_Orcam!$D$5:$D$14,0))," ")</f>
        <v xml:space="preserve"> </v>
      </c>
      <c r="E54" s="86">
        <f t="shared" si="14"/>
        <v>0</v>
      </c>
      <c r="F54" s="86" t="s">
        <v>190</v>
      </c>
      <c r="G54" s="286"/>
      <c r="H54" s="544"/>
      <c r="I54" s="544"/>
      <c r="J54" s="542"/>
      <c r="K54" s="542"/>
      <c r="L54" s="542"/>
      <c r="M54" s="544"/>
      <c r="N54" s="542"/>
      <c r="O54" s="545"/>
      <c r="P54" s="413"/>
      <c r="Q54" s="542"/>
      <c r="R54" s="546"/>
      <c r="S54" s="543"/>
      <c r="T54" s="292">
        <f t="shared" si="15"/>
        <v>0</v>
      </c>
      <c r="U54" s="292" t="str">
        <f t="shared" si="16"/>
        <v/>
      </c>
      <c r="V54" s="289">
        <f>IFERROR(IF($G54="C",IF(OR($M54="OI Geral",$M54="OI EC"),ROUND(VLOOKUP($O54&amp;"_Contratado",Parametros_Orcam!$A:$H,COLUMN(Parametros_Orcam!$G$1),0)*$T54,0),0),
IF($G54="B",ROUND(IF(OR($M54="OI Geral",$M54="OI EC"),VLOOKUP($O54&amp;"_"&amp;$N54,Parametros_Orcam!$A:$H,COLUMN(Parametros_Orcam!$G$1),0)*$T54,0),0),
IF($G54="B",ROUND(IF(OR($M54="OI Geral",$M54="OI EC"),VLOOKUP($O54&amp;"_"&amp;$N54,Parametros_Orcam!$A:$H,COLUMN(Parametros_Orcam!$G$1),0)*$T54,0),0),0))),0)</f>
        <v>0</v>
      </c>
      <c r="W54" s="289">
        <f>IFERROR(IF($G54="C",IF(OR($M54="Outra OI",$M54="Outra Fonte"),ROUND(VLOOKUP($O54&amp;"_Contratado",Parametros_Orcam!$A:$H,COLUMN(Parametros_Orcam!$G$1),0)*$T54,0),0),
IF($G54="D",ROUND(VLOOKUP($P54&amp;"_Docente",Parametros_Orcam!$A:$H,COLUMN(Parametros_Orcam!G$16),0)*$T54,0),
IF($G54="B",ROUND(IF(OR($M54="Outra OI",$M54="Outra Fonte"),VLOOKUP($O54&amp;"_"&amp;$N54,Parametros_Orcam!$A:$H,COLUMN(Parametros_Orcam!$G$1),0)*$T54,0),0),0))),0)</f>
        <v>0</v>
      </c>
      <c r="X54" s="289">
        <f>IFERROR(IF($G54="D",ROUND(VLOOKUP($P54&amp;"_Docente",Parametros_Orcam!$A:$H,COLUMN(Parametros_Orcam!H$16),0)*(1+VLOOKUP($L54,IES,2,0)%+VLOOKUP($L54,IES,3,0)%)/1.25*$T54*$R54,0),
IF($G54="B",ROUND(VLOOKUP($O54&amp;"_"&amp;$N54,Parametros_Orcam!$A:$H,COLUMN(Parametros_Orcam!H$16),0)*$T54*$R54,0),0)),0)</f>
        <v>0</v>
      </c>
      <c r="Y54" s="289">
        <f t="shared" si="17"/>
        <v>0</v>
      </c>
      <c r="Z54" s="289" t="str">
        <f>IF(LEN($P54)&lt;2,"",$T54*INDEX(Dados_Gerais!$H$36:$H$41,MATCH($P54,Dados_Gerais!$D$36:$D$41,0)))</f>
        <v/>
      </c>
      <c r="AA54" s="86"/>
      <c r="AB54" s="181" t="str">
        <f t="shared" si="18"/>
        <v/>
      </c>
      <c r="AC54" s="86"/>
      <c r="AD54" s="181" t="str">
        <f t="shared" si="19"/>
        <v/>
      </c>
      <c r="AE54" s="242">
        <f t="shared" si="20"/>
        <v>0</v>
      </c>
      <c r="AF54" s="242">
        <f t="shared" si="21"/>
        <v>0</v>
      </c>
      <c r="AG54" s="78" t="str">
        <f t="shared" si="22"/>
        <v>C</v>
      </c>
    </row>
    <row r="55" spans="1:42" s="4" customFormat="1" ht="15.95" hidden="1" customHeight="1">
      <c r="A55" s="86" t="str">
        <f t="shared" si="12"/>
        <v>X</v>
      </c>
      <c r="B55" s="55" t="str">
        <f t="shared" si="13"/>
        <v/>
      </c>
      <c r="C55" s="86" t="str">
        <f>IFERROR(IF($G55="B",INDEX(Parametros_Orcam!$E$39:$E$43,MATCH($N55,Parametros_Orcam!$C$39:$C$43,0)),"")," ")</f>
        <v/>
      </c>
      <c r="D55" s="86" t="str">
        <f>IFERROR(INDEX(Parametros_Orcam!$C$5:$C$14,MATCH($Q55,Parametros_Orcam!$D$5:$D$14,0))," ")</f>
        <v xml:space="preserve"> </v>
      </c>
      <c r="E55" s="86">
        <f t="shared" si="14"/>
        <v>0</v>
      </c>
      <c r="F55" s="86" t="s">
        <v>190</v>
      </c>
      <c r="G55" s="286"/>
      <c r="H55" s="544"/>
      <c r="I55" s="544"/>
      <c r="J55" s="542"/>
      <c r="K55" s="542"/>
      <c r="L55" s="542"/>
      <c r="M55" s="544"/>
      <c r="N55" s="542"/>
      <c r="O55" s="545"/>
      <c r="P55" s="413"/>
      <c r="Q55" s="542"/>
      <c r="R55" s="546"/>
      <c r="S55" s="543"/>
      <c r="T55" s="292">
        <f t="shared" si="15"/>
        <v>0</v>
      </c>
      <c r="U55" s="292" t="str">
        <f t="shared" si="16"/>
        <v/>
      </c>
      <c r="V55" s="289">
        <f>IFERROR(IF($G55="C",IF(OR($M55="OI Geral",$M55="OI EC"),ROUND(VLOOKUP($O55&amp;"_Contratado",Parametros_Orcam!$A:$H,COLUMN(Parametros_Orcam!$G$1),0)*$T55,0),0),
IF($G55="B",ROUND(IF(OR($M55="OI Geral",$M55="OI EC"),VLOOKUP($O55&amp;"_"&amp;$N55,Parametros_Orcam!$A:$H,COLUMN(Parametros_Orcam!$G$1),0)*$T55,0),0),
IF($G55="B",ROUND(IF(OR($M55="OI Geral",$M55="OI EC"),VLOOKUP($O55&amp;"_"&amp;$N55,Parametros_Orcam!$A:$H,COLUMN(Parametros_Orcam!$G$1),0)*$T55,0),0),0))),0)</f>
        <v>0</v>
      </c>
      <c r="W55" s="289">
        <f>IFERROR(IF($G55="C",IF(OR($M55="Outra OI",$M55="Outra Fonte"),ROUND(VLOOKUP($O55&amp;"_Contratado",Parametros_Orcam!$A:$H,COLUMN(Parametros_Orcam!$G$1),0)*$T55,0),0),
IF($G55="D",ROUND(VLOOKUP($P55&amp;"_Docente",Parametros_Orcam!$A:$H,COLUMN(Parametros_Orcam!G$16),0)*$T55,0),
IF($G55="B",ROUND(IF(OR($M55="Outra OI",$M55="Outra Fonte"),VLOOKUP($O55&amp;"_"&amp;$N55,Parametros_Orcam!$A:$H,COLUMN(Parametros_Orcam!$G$1),0)*$T55,0),0),0))),0)</f>
        <v>0</v>
      </c>
      <c r="X55" s="289">
        <f>IFERROR(IF($G55="D",ROUND(VLOOKUP($P55&amp;"_Docente",Parametros_Orcam!$A:$H,COLUMN(Parametros_Orcam!H$16),0)*(1+VLOOKUP($L55,IES,2,0)%+VLOOKUP($L55,IES,3,0)%)/1.25*$T55*$R55,0),
IF($G55="B",ROUND(VLOOKUP($O55&amp;"_"&amp;$N55,Parametros_Orcam!$A:$H,COLUMN(Parametros_Orcam!H$16),0)*$T55*$R55,0),0)),0)</f>
        <v>0</v>
      </c>
      <c r="Y55" s="289">
        <f t="shared" si="17"/>
        <v>0</v>
      </c>
      <c r="Z55" s="289" t="str">
        <f>IF(LEN($P55)&lt;2,"",$T55*INDEX(Dados_Gerais!$H$36:$H$41,MATCH($P55,Dados_Gerais!$D$36:$D$41,0)))</f>
        <v/>
      </c>
      <c r="AA55" s="86"/>
      <c r="AB55" s="181" t="str">
        <f t="shared" si="18"/>
        <v/>
      </c>
      <c r="AC55" s="86"/>
      <c r="AD55" s="181" t="str">
        <f t="shared" si="19"/>
        <v/>
      </c>
      <c r="AE55" s="242">
        <f t="shared" si="20"/>
        <v>0</v>
      </c>
      <c r="AF55" s="242">
        <f t="shared" si="21"/>
        <v>0</v>
      </c>
      <c r="AG55" s="78" t="str">
        <f t="shared" si="22"/>
        <v>C</v>
      </c>
    </row>
    <row r="56" spans="1:42" s="4" customFormat="1" ht="15.95" hidden="1" customHeight="1">
      <c r="A56" s="86" t="str">
        <f t="shared" si="12"/>
        <v>X</v>
      </c>
      <c r="B56" s="55" t="str">
        <f t="shared" si="13"/>
        <v/>
      </c>
      <c r="C56" s="86" t="str">
        <f>IFERROR(IF($G56="B",INDEX(Parametros_Orcam!$E$39:$E$43,MATCH($N56,Parametros_Orcam!$C$39:$C$43,0)),"")," ")</f>
        <v/>
      </c>
      <c r="D56" s="86" t="str">
        <f>IFERROR(INDEX(Parametros_Orcam!$C$5:$C$14,MATCH($Q56,Parametros_Orcam!$D$5:$D$14,0))," ")</f>
        <v xml:space="preserve"> </v>
      </c>
      <c r="E56" s="86">
        <f t="shared" si="14"/>
        <v>0</v>
      </c>
      <c r="F56" s="86" t="s">
        <v>190</v>
      </c>
      <c r="G56" s="286"/>
      <c r="H56" s="542"/>
      <c r="I56" s="542"/>
      <c r="J56" s="542"/>
      <c r="K56" s="542"/>
      <c r="L56" s="542"/>
      <c r="M56" s="544"/>
      <c r="N56" s="542"/>
      <c r="O56" s="545"/>
      <c r="P56" s="413"/>
      <c r="Q56" s="542"/>
      <c r="R56" s="547"/>
      <c r="S56" s="543"/>
      <c r="T56" s="292">
        <f t="shared" si="15"/>
        <v>0</v>
      </c>
      <c r="U56" s="292" t="str">
        <f t="shared" si="16"/>
        <v/>
      </c>
      <c r="V56" s="289">
        <f>IFERROR(IF($G56="C",IF(OR($M56="OI Geral",$M56="OI EC"),ROUND(VLOOKUP($O56&amp;"_Contratado",Parametros_Orcam!$A:$H,COLUMN(Parametros_Orcam!$G$1),0)*$T56,0),0),
IF($G56="B",ROUND(IF(OR($M56="OI Geral",$M56="OI EC"),VLOOKUP($O56&amp;"_"&amp;$N56,Parametros_Orcam!$A:$H,COLUMN(Parametros_Orcam!$G$1),0)*$T56,0),0),
IF($G56="B",ROUND(IF(OR($M56="OI Geral",$M56="OI EC"),VLOOKUP($O56&amp;"_"&amp;$N56,Parametros_Orcam!$A:$H,COLUMN(Parametros_Orcam!$G$1),0)*$T56,0),0),0))),0)</f>
        <v>0</v>
      </c>
      <c r="W56" s="289">
        <f>IFERROR(IF($G56="C",IF(OR($M56="Outra OI",$M56="Outra Fonte"),ROUND(VLOOKUP($O56&amp;"_Contratado",Parametros_Orcam!$A:$H,COLUMN(Parametros_Orcam!$G$1),0)*$T56,0),0),
IF($G56="D",ROUND(VLOOKUP($P56&amp;"_Docente",Parametros_Orcam!$A:$H,COLUMN(Parametros_Orcam!G$16),0)*$T56,0),
IF($G56="B",ROUND(IF(OR($M56="Outra OI",$M56="Outra Fonte"),VLOOKUP($O56&amp;"_"&amp;$N56,Parametros_Orcam!$A:$H,COLUMN(Parametros_Orcam!$G$1),0)*$T56,0),0),0))),0)</f>
        <v>0</v>
      </c>
      <c r="X56" s="289">
        <f>IFERROR(IF($G56="D",ROUND(VLOOKUP($P56&amp;"_Docente",Parametros_Orcam!$A:$H,COLUMN(Parametros_Orcam!H$16),0)*(1+VLOOKUP($L56,IES,2,0)%+VLOOKUP($L56,IES,3,0)%)/1.25*$T56*$R56,0),
IF($G56="B",ROUND(VLOOKUP($O56&amp;"_"&amp;$N56,Parametros_Orcam!$A:$H,COLUMN(Parametros_Orcam!H$16),0)*$T56*$R56,0),0)),0)</f>
        <v>0</v>
      </c>
      <c r="Y56" s="289">
        <f t="shared" si="17"/>
        <v>0</v>
      </c>
      <c r="Z56" s="289" t="str">
        <f>IF(LEN($P56)&lt;2,"",$T56*INDEX(Dados_Gerais!$H$36:$H$41,MATCH($P56,Dados_Gerais!$D$36:$D$41,0)))</f>
        <v/>
      </c>
      <c r="AA56" s="86"/>
      <c r="AB56" s="181" t="str">
        <f t="shared" si="18"/>
        <v/>
      </c>
      <c r="AC56" s="86"/>
      <c r="AD56" s="181" t="str">
        <f t="shared" si="19"/>
        <v/>
      </c>
      <c r="AE56" s="242">
        <f t="shared" si="20"/>
        <v>0</v>
      </c>
      <c r="AF56" s="242">
        <f t="shared" si="21"/>
        <v>0</v>
      </c>
      <c r="AG56" s="78" t="str">
        <f t="shared" si="22"/>
        <v>C</v>
      </c>
    </row>
    <row r="57" spans="1:42" s="4" customFormat="1" ht="15.95" hidden="1" customHeight="1">
      <c r="A57" s="86" t="str">
        <f t="shared" si="12"/>
        <v>X</v>
      </c>
      <c r="B57" s="55" t="str">
        <f t="shared" si="13"/>
        <v/>
      </c>
      <c r="C57" s="86" t="str">
        <f>IFERROR(IF($G57="B",INDEX(Parametros_Orcam!$E$39:$E$43,MATCH($N57,Parametros_Orcam!$C$39:$C$43,0)),"")," ")</f>
        <v/>
      </c>
      <c r="D57" s="86" t="str">
        <f>IFERROR(INDEX(Parametros_Orcam!$C$5:$C$14,MATCH($Q57,Parametros_Orcam!$D$5:$D$14,0))," ")</f>
        <v xml:space="preserve"> </v>
      </c>
      <c r="E57" s="86">
        <f t="shared" si="14"/>
        <v>0</v>
      </c>
      <c r="F57" s="86" t="s">
        <v>190</v>
      </c>
      <c r="G57" s="286"/>
      <c r="H57" s="542"/>
      <c r="I57" s="542"/>
      <c r="J57" s="542"/>
      <c r="K57" s="542"/>
      <c r="L57" s="542"/>
      <c r="M57" s="544"/>
      <c r="N57" s="542"/>
      <c r="O57" s="545"/>
      <c r="P57" s="413"/>
      <c r="Q57" s="542"/>
      <c r="R57" s="547"/>
      <c r="S57" s="543"/>
      <c r="T57" s="292">
        <f t="shared" si="15"/>
        <v>0</v>
      </c>
      <c r="U57" s="292" t="str">
        <f t="shared" si="16"/>
        <v/>
      </c>
      <c r="V57" s="289">
        <f>IFERROR(IF($G57="C",IF(OR($M57="OI Geral",$M57="OI EC"),ROUND(VLOOKUP($O57&amp;"_Contratado",Parametros_Orcam!$A:$H,COLUMN(Parametros_Orcam!$G$1),0)*$T57,0),0),
IF($G57="B",ROUND(IF(OR($M57="OI Geral",$M57="OI EC"),VLOOKUP($O57&amp;"_"&amp;$N57,Parametros_Orcam!$A:$H,COLUMN(Parametros_Orcam!$G$1),0)*$T57,0),0),
IF($G57="B",ROUND(IF(OR($M57="OI Geral",$M57="OI EC"),VLOOKUP($O57&amp;"_"&amp;$N57,Parametros_Orcam!$A:$H,COLUMN(Parametros_Orcam!$G$1),0)*$T57,0),0),0))),0)</f>
        <v>0</v>
      </c>
      <c r="W57" s="289">
        <f>IFERROR(IF($G57="C",IF(OR($M57="Outra OI",$M57="Outra Fonte"),ROUND(VLOOKUP($O57&amp;"_Contratado",Parametros_Orcam!$A:$H,COLUMN(Parametros_Orcam!$G$1),0)*$T57,0),0),
IF($G57="D",ROUND(VLOOKUP($P57&amp;"_Docente",Parametros_Orcam!$A:$H,COLUMN(Parametros_Orcam!G$16),0)*$T57,0),
IF($G57="B",ROUND(IF(OR($M57="Outra OI",$M57="Outra Fonte"),VLOOKUP($O57&amp;"_"&amp;$N57,Parametros_Orcam!$A:$H,COLUMN(Parametros_Orcam!$G$1),0)*$T57,0),0),0))),0)</f>
        <v>0</v>
      </c>
      <c r="X57" s="289">
        <f>IFERROR(IF($G57="D",ROUND(VLOOKUP($P57&amp;"_Docente",Parametros_Orcam!$A:$H,COLUMN(Parametros_Orcam!H$16),0)*(1+VLOOKUP($L57,IES,2,0)%+VLOOKUP($L57,IES,3,0)%)/1.25*$T57*$R57,0),
IF($G57="B",ROUND(VLOOKUP($O57&amp;"_"&amp;$N57,Parametros_Orcam!$A:$H,COLUMN(Parametros_Orcam!H$16),0)*$T57*$R57,0),0)),0)</f>
        <v>0</v>
      </c>
      <c r="Y57" s="289">
        <f t="shared" si="17"/>
        <v>0</v>
      </c>
      <c r="Z57" s="289" t="str">
        <f>IF(LEN($P57)&lt;2,"",$T57*INDEX(Dados_Gerais!$H$36:$H$41,MATCH($P57,Dados_Gerais!$D$36:$D$41,0)))</f>
        <v/>
      </c>
      <c r="AA57" s="86"/>
      <c r="AB57" s="181" t="str">
        <f t="shared" si="18"/>
        <v/>
      </c>
      <c r="AC57" s="86"/>
      <c r="AD57" s="181" t="str">
        <f t="shared" si="19"/>
        <v/>
      </c>
      <c r="AE57" s="242">
        <f t="shared" si="20"/>
        <v>0</v>
      </c>
      <c r="AF57" s="242">
        <f t="shared" si="21"/>
        <v>0</v>
      </c>
      <c r="AG57" s="78" t="str">
        <f t="shared" si="22"/>
        <v>C</v>
      </c>
    </row>
    <row r="58" spans="1:42" s="4" customFormat="1" ht="15.95" hidden="1" customHeight="1">
      <c r="A58" s="86" t="str">
        <f t="shared" si="12"/>
        <v>X</v>
      </c>
      <c r="B58" s="55" t="str">
        <f t="shared" si="13"/>
        <v/>
      </c>
      <c r="C58" s="86" t="str">
        <f>IFERROR(IF($G58="B",INDEX(Parametros_Orcam!$E$39:$E$43,MATCH($N58,Parametros_Orcam!$C$39:$C$43,0)),"")," ")</f>
        <v/>
      </c>
      <c r="D58" s="86" t="str">
        <f>IFERROR(INDEX(Parametros_Orcam!$C$5:$C$14,MATCH($Q58,Parametros_Orcam!$D$5:$D$14,0))," ")</f>
        <v xml:space="preserve"> </v>
      </c>
      <c r="E58" s="86">
        <f t="shared" si="14"/>
        <v>0</v>
      </c>
      <c r="F58" s="86" t="s">
        <v>190</v>
      </c>
      <c r="G58" s="286"/>
      <c r="H58" s="542"/>
      <c r="I58" s="542"/>
      <c r="J58" s="542"/>
      <c r="K58" s="542"/>
      <c r="L58" s="542"/>
      <c r="M58" s="544"/>
      <c r="N58" s="542"/>
      <c r="O58" s="545"/>
      <c r="P58" s="413"/>
      <c r="Q58" s="542"/>
      <c r="R58" s="547"/>
      <c r="S58" s="543"/>
      <c r="T58" s="292">
        <f t="shared" si="15"/>
        <v>0</v>
      </c>
      <c r="U58" s="292" t="str">
        <f t="shared" si="16"/>
        <v/>
      </c>
      <c r="V58" s="289">
        <f>IFERROR(IF($G58="C",IF(OR($M58="OI Geral",$M58="OI EC"),ROUND(VLOOKUP($O58&amp;"_Contratado",Parametros_Orcam!$A:$H,COLUMN(Parametros_Orcam!$G$1),0)*$T58,0),0),
IF($G58="B",ROUND(IF(OR($M58="OI Geral",$M58="OI EC"),VLOOKUP($O58&amp;"_"&amp;$N58,Parametros_Orcam!$A:$H,COLUMN(Parametros_Orcam!$G$1),0)*$T58,0),0),
IF($G58="B",ROUND(IF(OR($M58="OI Geral",$M58="OI EC"),VLOOKUP($O58&amp;"_"&amp;$N58,Parametros_Orcam!$A:$H,COLUMN(Parametros_Orcam!$G$1),0)*$T58,0),0),0))),0)</f>
        <v>0</v>
      </c>
      <c r="W58" s="289">
        <f>IFERROR(IF($G58="C",IF(OR($M58="Outra OI",$M58="Outra Fonte"),ROUND(VLOOKUP($O58&amp;"_Contratado",Parametros_Orcam!$A:$H,COLUMN(Parametros_Orcam!$G$1),0)*$T58,0),0),
IF($G58="D",ROUND(VLOOKUP($P58&amp;"_Docente",Parametros_Orcam!$A:$H,COLUMN(Parametros_Orcam!G$16),0)*$T58,0),
IF($G58="B",ROUND(IF(OR($M58="Outra OI",$M58="Outra Fonte"),VLOOKUP($O58&amp;"_"&amp;$N58,Parametros_Orcam!$A:$H,COLUMN(Parametros_Orcam!$G$1),0)*$T58,0),0),0))),0)</f>
        <v>0</v>
      </c>
      <c r="X58" s="289">
        <f>IFERROR(IF($G58="D",ROUND(VLOOKUP($P58&amp;"_Docente",Parametros_Orcam!$A:$H,COLUMN(Parametros_Orcam!H$16),0)*(1+VLOOKUP($L58,IES,2,0)%+VLOOKUP($L58,IES,3,0)%)/1.25*$T58*$R58,0),
IF($G58="B",ROUND(VLOOKUP($O58&amp;"_"&amp;$N58,Parametros_Orcam!$A:$H,COLUMN(Parametros_Orcam!H$16),0)*$T58*$R58,0),0)),0)</f>
        <v>0</v>
      </c>
      <c r="Y58" s="289">
        <f t="shared" si="17"/>
        <v>0</v>
      </c>
      <c r="Z58" s="289" t="str">
        <f>IF(LEN($P58)&lt;2,"",$T58*INDEX(Dados_Gerais!$H$36:$H$41,MATCH($P58,Dados_Gerais!$D$36:$D$41,0)))</f>
        <v/>
      </c>
      <c r="AA58" s="86"/>
      <c r="AB58" s="181" t="str">
        <f t="shared" si="18"/>
        <v/>
      </c>
      <c r="AC58" s="86"/>
      <c r="AD58" s="181" t="str">
        <f t="shared" si="19"/>
        <v/>
      </c>
      <c r="AE58" s="242">
        <f t="shared" si="20"/>
        <v>0</v>
      </c>
      <c r="AF58" s="242">
        <f t="shared" si="21"/>
        <v>0</v>
      </c>
      <c r="AG58" s="78" t="str">
        <f t="shared" si="22"/>
        <v>C</v>
      </c>
    </row>
    <row r="59" spans="1:42" s="4" customFormat="1" ht="15.95" hidden="1" customHeight="1">
      <c r="A59" s="86" t="str">
        <f t="shared" si="12"/>
        <v>X</v>
      </c>
      <c r="B59" s="55" t="str">
        <f t="shared" si="13"/>
        <v/>
      </c>
      <c r="C59" s="86" t="str">
        <f>IFERROR(IF($G59="B",INDEX(Parametros_Orcam!$E$39:$E$43,MATCH($N59,Parametros_Orcam!$C$39:$C$43,0)),"")," ")</f>
        <v/>
      </c>
      <c r="D59" s="86" t="str">
        <f>IFERROR(INDEX(Parametros_Orcam!$C$5:$C$14,MATCH($Q59,Parametros_Orcam!$D$5:$D$14,0))," ")</f>
        <v xml:space="preserve"> </v>
      </c>
      <c r="E59" s="86">
        <f t="shared" si="14"/>
        <v>0</v>
      </c>
      <c r="F59" s="86" t="s">
        <v>190</v>
      </c>
      <c r="G59" s="286"/>
      <c r="H59" s="544"/>
      <c r="I59" s="544"/>
      <c r="J59" s="542"/>
      <c r="K59" s="542"/>
      <c r="L59" s="542"/>
      <c r="M59" s="544"/>
      <c r="N59" s="542"/>
      <c r="O59" s="545"/>
      <c r="P59" s="413"/>
      <c r="Q59" s="542"/>
      <c r="R59" s="546"/>
      <c r="S59" s="543"/>
      <c r="T59" s="292">
        <f t="shared" si="15"/>
        <v>0</v>
      </c>
      <c r="U59" s="292" t="str">
        <f t="shared" si="16"/>
        <v/>
      </c>
      <c r="V59" s="289">
        <f>IFERROR(IF($G59="C",IF(OR($M59="OI Geral",$M59="OI EC"),ROUND(VLOOKUP($O59&amp;"_Contratado",Parametros_Orcam!$A:$H,COLUMN(Parametros_Orcam!$G$1),0)*$T59,0),0),
IF($G59="B",ROUND(IF(OR($M59="OI Geral",$M59="OI EC"),VLOOKUP($O59&amp;"_"&amp;$N59,Parametros_Orcam!$A:$H,COLUMN(Parametros_Orcam!$G$1),0)*$T59,0),0),
IF($G59="B",ROUND(IF(OR($M59="OI Geral",$M59="OI EC"),VLOOKUP($O59&amp;"_"&amp;$N59,Parametros_Orcam!$A:$H,COLUMN(Parametros_Orcam!$G$1),0)*$T59,0),0),0))),0)</f>
        <v>0</v>
      </c>
      <c r="W59" s="289">
        <f>IFERROR(IF($G59="C",IF(OR($M59="Outra OI",$M59="Outra Fonte"),ROUND(VLOOKUP($O59&amp;"_Contratado",Parametros_Orcam!$A:$H,COLUMN(Parametros_Orcam!$G$1),0)*$T59,0),0),
IF($G59="D",ROUND(VLOOKUP($P59&amp;"_Docente",Parametros_Orcam!$A:$H,COLUMN(Parametros_Orcam!G$16),0)*$T59,0),
IF($G59="B",ROUND(IF(OR($M59="Outra OI",$M59="Outra Fonte"),VLOOKUP($O59&amp;"_"&amp;$N59,Parametros_Orcam!$A:$H,COLUMN(Parametros_Orcam!$G$1),0)*$T59,0),0),0))),0)</f>
        <v>0</v>
      </c>
      <c r="X59" s="289">
        <f>IFERROR(IF($G59="D",ROUND(VLOOKUP($P59&amp;"_Docente",Parametros_Orcam!$A:$H,COLUMN(Parametros_Orcam!H$16),0)*(1+VLOOKUP($L59,IES,2,0)%+VLOOKUP($L59,IES,3,0)%)/1.25*$T59*$R59,0),
IF($G59="B",ROUND(VLOOKUP($O59&amp;"_"&amp;$N59,Parametros_Orcam!$A:$H,COLUMN(Parametros_Orcam!H$16),0)*$T59*$R59,0),0)),0)</f>
        <v>0</v>
      </c>
      <c r="Y59" s="289">
        <f t="shared" si="17"/>
        <v>0</v>
      </c>
      <c r="Z59" s="289" t="str">
        <f>IF(LEN($P59)&lt;2,"",$T59*INDEX(Dados_Gerais!$H$36:$H$41,MATCH($P59,Dados_Gerais!$D$36:$D$41,0)))</f>
        <v/>
      </c>
      <c r="AA59" s="86"/>
      <c r="AB59" s="181" t="str">
        <f t="shared" si="18"/>
        <v/>
      </c>
      <c r="AC59" s="86"/>
      <c r="AD59" s="181" t="str">
        <f t="shared" si="19"/>
        <v/>
      </c>
      <c r="AE59" s="242">
        <f t="shared" si="20"/>
        <v>0</v>
      </c>
      <c r="AF59" s="242">
        <f t="shared" si="21"/>
        <v>0</v>
      </c>
      <c r="AG59" s="78" t="str">
        <f t="shared" si="22"/>
        <v>C</v>
      </c>
    </row>
    <row r="60" spans="1:42" s="4" customFormat="1" ht="15.95" hidden="1" customHeight="1">
      <c r="A60" s="86" t="str">
        <f t="shared" si="12"/>
        <v>X</v>
      </c>
      <c r="B60" s="55" t="str">
        <f t="shared" si="13"/>
        <v/>
      </c>
      <c r="C60" s="86" t="str">
        <f>IFERROR(IF($G60="B",INDEX(Parametros_Orcam!$E$39:$E$43,MATCH($N60,Parametros_Orcam!$C$39:$C$43,0)),"")," ")</f>
        <v/>
      </c>
      <c r="D60" s="86" t="str">
        <f>IFERROR(INDEX(Parametros_Orcam!$C$5:$C$14,MATCH($Q60,Parametros_Orcam!$D$5:$D$14,0))," ")</f>
        <v xml:space="preserve"> </v>
      </c>
      <c r="E60" s="86">
        <f t="shared" si="14"/>
        <v>0</v>
      </c>
      <c r="F60" s="86" t="s">
        <v>190</v>
      </c>
      <c r="G60" s="286"/>
      <c r="H60" s="544"/>
      <c r="I60" s="544"/>
      <c r="J60" s="542"/>
      <c r="K60" s="542"/>
      <c r="L60" s="542"/>
      <c r="M60" s="544"/>
      <c r="N60" s="542"/>
      <c r="O60" s="545"/>
      <c r="P60" s="413"/>
      <c r="Q60" s="542"/>
      <c r="R60" s="546"/>
      <c r="S60" s="543"/>
      <c r="T60" s="292">
        <f t="shared" si="15"/>
        <v>0</v>
      </c>
      <c r="U60" s="292" t="str">
        <f t="shared" si="16"/>
        <v/>
      </c>
      <c r="V60" s="289">
        <f>IFERROR(IF($G60="C",IF(OR($M60="OI Geral",$M60="OI EC"),ROUND(VLOOKUP($O60&amp;"_Contratado",Parametros_Orcam!$A:$H,COLUMN(Parametros_Orcam!$G$1),0)*$T60,0),0),
IF($G60="B",ROUND(IF(OR($M60="OI Geral",$M60="OI EC"),VLOOKUP($O60&amp;"_"&amp;$N60,Parametros_Orcam!$A:$H,COLUMN(Parametros_Orcam!$G$1),0)*$T60,0),0),
IF($G60="B",ROUND(IF(OR($M60="OI Geral",$M60="OI EC"),VLOOKUP($O60&amp;"_"&amp;$N60,Parametros_Orcam!$A:$H,COLUMN(Parametros_Orcam!$G$1),0)*$T60,0),0),0))),0)</f>
        <v>0</v>
      </c>
      <c r="W60" s="289">
        <f>IFERROR(IF($G60="C",IF(OR($M60="Outra OI",$M60="Outra Fonte"),ROUND(VLOOKUP($O60&amp;"_Contratado",Parametros_Orcam!$A:$H,COLUMN(Parametros_Orcam!$G$1),0)*$T60,0),0),
IF($G60="D",ROUND(VLOOKUP($P60&amp;"_Docente",Parametros_Orcam!$A:$H,COLUMN(Parametros_Orcam!G$16),0)*$T60,0),
IF($G60="B",ROUND(IF(OR($M60="Outra OI",$M60="Outra Fonte"),VLOOKUP($O60&amp;"_"&amp;$N60,Parametros_Orcam!$A:$H,COLUMN(Parametros_Orcam!$G$1),0)*$T60,0),0),0))),0)</f>
        <v>0</v>
      </c>
      <c r="X60" s="289">
        <f>IFERROR(IF($G60="D",ROUND(VLOOKUP($P60&amp;"_Docente",Parametros_Orcam!$A:$H,COLUMN(Parametros_Orcam!H$16),0)*(1+VLOOKUP($L60,IES,2,0)%+VLOOKUP($L60,IES,3,0)%)/1.25*$T60*$R60,0),
IF($G60="B",ROUND(VLOOKUP($O60&amp;"_"&amp;$N60,Parametros_Orcam!$A:$H,COLUMN(Parametros_Orcam!H$16),0)*$T60*$R60,0),0)),0)</f>
        <v>0</v>
      </c>
      <c r="Y60" s="289">
        <f t="shared" si="17"/>
        <v>0</v>
      </c>
      <c r="Z60" s="289" t="str">
        <f>IF(LEN($P60)&lt;2,"",$T60*INDEX(Dados_Gerais!$H$36:$H$41,MATCH($P60,Dados_Gerais!$D$36:$D$41,0)))</f>
        <v/>
      </c>
      <c r="AA60" s="86"/>
      <c r="AB60" s="181" t="str">
        <f t="shared" si="18"/>
        <v/>
      </c>
      <c r="AC60" s="86"/>
      <c r="AD60" s="181" t="str">
        <f t="shared" si="19"/>
        <v/>
      </c>
      <c r="AE60" s="242">
        <f t="shared" si="20"/>
        <v>0</v>
      </c>
      <c r="AF60" s="242">
        <f t="shared" si="21"/>
        <v>0</v>
      </c>
      <c r="AG60" s="78" t="str">
        <f t="shared" si="22"/>
        <v>C</v>
      </c>
    </row>
    <row r="61" spans="1:42" s="4" customFormat="1" ht="15.95" hidden="1" customHeight="1">
      <c r="A61" s="86" t="str">
        <f t="shared" si="12"/>
        <v>X</v>
      </c>
      <c r="B61" s="55" t="str">
        <f t="shared" si="13"/>
        <v/>
      </c>
      <c r="C61" s="86" t="str">
        <f>IFERROR(IF($G61="B",INDEX(Parametros_Orcam!$E$39:$E$43,MATCH($N61,Parametros_Orcam!$C$39:$C$43,0)),"")," ")</f>
        <v/>
      </c>
      <c r="D61" s="86" t="str">
        <f>IFERROR(INDEX(Parametros_Orcam!$C$5:$C$14,MATCH($Q61,Parametros_Orcam!$D$5:$D$14,0))," ")</f>
        <v xml:space="preserve"> </v>
      </c>
      <c r="E61" s="86">
        <f t="shared" si="14"/>
        <v>0</v>
      </c>
      <c r="F61" s="86" t="s">
        <v>190</v>
      </c>
      <c r="G61" s="286"/>
      <c r="H61" s="544"/>
      <c r="I61" s="544"/>
      <c r="J61" s="542"/>
      <c r="K61" s="542"/>
      <c r="L61" s="542"/>
      <c r="M61" s="544"/>
      <c r="N61" s="542"/>
      <c r="O61" s="545"/>
      <c r="P61" s="413"/>
      <c r="Q61" s="542"/>
      <c r="R61" s="546"/>
      <c r="S61" s="543"/>
      <c r="T61" s="292">
        <f t="shared" si="15"/>
        <v>0</v>
      </c>
      <c r="U61" s="292" t="str">
        <f t="shared" si="16"/>
        <v/>
      </c>
      <c r="V61" s="289">
        <f>IFERROR(IF($G61="C",IF(OR($M61="OI Geral",$M61="OI EC"),ROUND(VLOOKUP($O61&amp;"_Contratado",Parametros_Orcam!$A:$H,COLUMN(Parametros_Orcam!$G$1),0)*$T61,0),0),
IF($G61="B",ROUND(IF(OR($M61="OI Geral",$M61="OI EC"),VLOOKUP($O61&amp;"_"&amp;$N61,Parametros_Orcam!$A:$H,COLUMN(Parametros_Orcam!$G$1),0)*$T61,0),0),
IF($G61="B",ROUND(IF(OR($M61="OI Geral",$M61="OI EC"),VLOOKUP($O61&amp;"_"&amp;$N61,Parametros_Orcam!$A:$H,COLUMN(Parametros_Orcam!$G$1),0)*$T61,0),0),0))),0)</f>
        <v>0</v>
      </c>
      <c r="W61" s="289">
        <f>IFERROR(IF($G61="C",IF(OR($M61="Outra OI",$M61="Outra Fonte"),ROUND(VLOOKUP($O61&amp;"_Contratado",Parametros_Orcam!$A:$H,COLUMN(Parametros_Orcam!$G$1),0)*$T61,0),0),
IF($G61="D",ROUND(VLOOKUP($P61&amp;"_Docente",Parametros_Orcam!$A:$H,COLUMN(Parametros_Orcam!G$16),0)*$T61,0),
IF($G61="B",ROUND(IF(OR($M61="Outra OI",$M61="Outra Fonte"),VLOOKUP($O61&amp;"_"&amp;$N61,Parametros_Orcam!$A:$H,COLUMN(Parametros_Orcam!$G$1),0)*$T61,0),0),0))),0)</f>
        <v>0</v>
      </c>
      <c r="X61" s="289">
        <f>IFERROR(IF($G61="D",ROUND(VLOOKUP($P61&amp;"_Docente",Parametros_Orcam!$A:$H,COLUMN(Parametros_Orcam!H$16),0)*(1+VLOOKUP($L61,IES,2,0)%+VLOOKUP($L61,IES,3,0)%)/1.25*$T61*$R61,0),
IF($G61="B",ROUND(VLOOKUP($O61&amp;"_"&amp;$N61,Parametros_Orcam!$A:$H,COLUMN(Parametros_Orcam!H$16),0)*$T61*$R61,0),0)),0)</f>
        <v>0</v>
      </c>
      <c r="Y61" s="289">
        <f t="shared" si="17"/>
        <v>0</v>
      </c>
      <c r="Z61" s="289" t="str">
        <f>IF(LEN($P61)&lt;2,"",$T61*INDEX(Dados_Gerais!$H$36:$H$41,MATCH($P61,Dados_Gerais!$D$36:$D$41,0)))</f>
        <v/>
      </c>
      <c r="AA61" s="86"/>
      <c r="AB61" s="181" t="str">
        <f t="shared" si="18"/>
        <v/>
      </c>
      <c r="AC61" s="86"/>
      <c r="AD61" s="181" t="str">
        <f t="shared" si="19"/>
        <v/>
      </c>
      <c r="AE61" s="242">
        <f t="shared" si="20"/>
        <v>0</v>
      </c>
      <c r="AF61" s="242">
        <f t="shared" si="21"/>
        <v>0</v>
      </c>
      <c r="AG61" s="78" t="str">
        <f t="shared" si="22"/>
        <v>C</v>
      </c>
    </row>
    <row r="62" spans="1:42" s="4" customFormat="1" ht="15.95" hidden="1" customHeight="1">
      <c r="A62" s="86" t="str">
        <f t="shared" si="12"/>
        <v>X</v>
      </c>
      <c r="B62" s="55" t="str">
        <f t="shared" si="13"/>
        <v/>
      </c>
      <c r="C62" s="86" t="str">
        <f>IFERROR(IF($G62="B",INDEX(Parametros_Orcam!$E$39:$E$43,MATCH($N62,Parametros_Orcam!$C$39:$C$43,0)),"")," ")</f>
        <v/>
      </c>
      <c r="D62" s="86" t="str">
        <f>IFERROR(INDEX(Parametros_Orcam!$C$5:$C$14,MATCH($Q62,Parametros_Orcam!$D$5:$D$14,0))," ")</f>
        <v xml:space="preserve"> </v>
      </c>
      <c r="E62" s="86">
        <f t="shared" si="14"/>
        <v>0</v>
      </c>
      <c r="F62" s="86" t="s">
        <v>190</v>
      </c>
      <c r="G62" s="286"/>
      <c r="H62" s="544"/>
      <c r="I62" s="544"/>
      <c r="J62" s="542"/>
      <c r="K62" s="542"/>
      <c r="L62" s="542"/>
      <c r="M62" s="544"/>
      <c r="N62" s="542"/>
      <c r="O62" s="545"/>
      <c r="P62" s="413"/>
      <c r="Q62" s="542"/>
      <c r="R62" s="546"/>
      <c r="S62" s="543"/>
      <c r="T62" s="292">
        <f t="shared" si="15"/>
        <v>0</v>
      </c>
      <c r="U62" s="292" t="str">
        <f t="shared" si="16"/>
        <v/>
      </c>
      <c r="V62" s="289">
        <f>IFERROR(IF($G62="C",IF(OR($M62="OI Geral",$M62="OI EC"),ROUND(VLOOKUP($O62&amp;"_Contratado",Parametros_Orcam!$A:$H,COLUMN(Parametros_Orcam!$G$1),0)*$T62,0),0),
IF($G62="B",ROUND(IF(OR($M62="OI Geral",$M62="OI EC"),VLOOKUP($O62&amp;"_"&amp;$N62,Parametros_Orcam!$A:$H,COLUMN(Parametros_Orcam!$G$1),0)*$T62,0),0),
IF($G62="B",ROUND(IF(OR($M62="OI Geral",$M62="OI EC"),VLOOKUP($O62&amp;"_"&amp;$N62,Parametros_Orcam!$A:$H,COLUMN(Parametros_Orcam!$G$1),0)*$T62,0),0),0))),0)</f>
        <v>0</v>
      </c>
      <c r="W62" s="289">
        <f>IFERROR(IF($G62="C",IF(OR($M62="Outra OI",$M62="Outra Fonte"),ROUND(VLOOKUP($O62&amp;"_Contratado",Parametros_Orcam!$A:$H,COLUMN(Parametros_Orcam!$G$1),0)*$T62,0),0),
IF($G62="D",ROUND(VLOOKUP($P62&amp;"_Docente",Parametros_Orcam!$A:$H,COLUMN(Parametros_Orcam!G$16),0)*$T62,0),
IF($G62="B",ROUND(IF(OR($M62="Outra OI",$M62="Outra Fonte"),VLOOKUP($O62&amp;"_"&amp;$N62,Parametros_Orcam!$A:$H,COLUMN(Parametros_Orcam!$G$1),0)*$T62,0),0),0))),0)</f>
        <v>0</v>
      </c>
      <c r="X62" s="289">
        <f>IFERROR(IF($G62="D",ROUND(VLOOKUP($P62&amp;"_Docente",Parametros_Orcam!$A:$H,COLUMN(Parametros_Orcam!H$16),0)*(1+VLOOKUP($L62,IES,2,0)%+VLOOKUP($L62,IES,3,0)%)/1.25*$T62*$R62,0),
IF($G62="B",ROUND(VLOOKUP($O62&amp;"_"&amp;$N62,Parametros_Orcam!$A:$H,COLUMN(Parametros_Orcam!H$16),0)*$T62*$R62,0),0)),0)</f>
        <v>0</v>
      </c>
      <c r="Y62" s="289">
        <f t="shared" si="17"/>
        <v>0</v>
      </c>
      <c r="Z62" s="289" t="str">
        <f>IF(LEN($P62)&lt;2,"",$T62*INDEX(Dados_Gerais!$H$36:$H$41,MATCH($P62,Dados_Gerais!$D$36:$D$41,0)))</f>
        <v/>
      </c>
      <c r="AA62" s="86"/>
      <c r="AB62" s="181" t="str">
        <f t="shared" si="18"/>
        <v/>
      </c>
      <c r="AC62" s="86"/>
      <c r="AD62" s="181" t="str">
        <f t="shared" si="19"/>
        <v/>
      </c>
      <c r="AE62" s="242">
        <f t="shared" si="20"/>
        <v>0</v>
      </c>
      <c r="AF62" s="242">
        <f t="shared" si="21"/>
        <v>0</v>
      </c>
      <c r="AG62" s="78" t="str">
        <f t="shared" si="22"/>
        <v>C</v>
      </c>
    </row>
    <row r="63" spans="1:42" s="4" customFormat="1" ht="15.95" hidden="1" customHeight="1">
      <c r="A63" s="86" t="str">
        <f t="shared" si="12"/>
        <v>X</v>
      </c>
      <c r="B63" s="55" t="str">
        <f t="shared" si="13"/>
        <v/>
      </c>
      <c r="C63" s="86" t="str">
        <f>IFERROR(IF($G63="B",INDEX(Parametros_Orcam!$E$39:$E$43,MATCH($N63,Parametros_Orcam!$C$39:$C$43,0)),"")," ")</f>
        <v/>
      </c>
      <c r="D63" s="86" t="str">
        <f>IFERROR(INDEX(Parametros_Orcam!$C$5:$C$14,MATCH($Q63,Parametros_Orcam!$D$5:$D$14,0))," ")</f>
        <v xml:space="preserve"> </v>
      </c>
      <c r="E63" s="86">
        <f t="shared" si="14"/>
        <v>0</v>
      </c>
      <c r="F63" s="86" t="s">
        <v>190</v>
      </c>
      <c r="G63" s="286"/>
      <c r="H63" s="544"/>
      <c r="I63" s="544"/>
      <c r="J63" s="542"/>
      <c r="K63" s="544"/>
      <c r="L63" s="542"/>
      <c r="M63" s="544"/>
      <c r="N63" s="542"/>
      <c r="O63" s="545"/>
      <c r="P63" s="413"/>
      <c r="Q63" s="542"/>
      <c r="R63" s="546"/>
      <c r="S63" s="543"/>
      <c r="T63" s="292">
        <f t="shared" si="15"/>
        <v>0</v>
      </c>
      <c r="U63" s="292" t="str">
        <f t="shared" si="16"/>
        <v/>
      </c>
      <c r="V63" s="289">
        <f>IFERROR(IF($G63="C",IF(OR($M63="OI Geral",$M63="OI EC"),ROUND(VLOOKUP($O63&amp;"_Contratado",Parametros_Orcam!$A:$H,COLUMN(Parametros_Orcam!$G$1),0)*$T63,0),0),
IF($G63="B",ROUND(IF(OR($M63="OI Geral",$M63="OI EC"),VLOOKUP($O63&amp;"_"&amp;$N63,Parametros_Orcam!$A:$H,COLUMN(Parametros_Orcam!$G$1),0)*$T63,0),0),
IF($G63="B",ROUND(IF(OR($M63="OI Geral",$M63="OI EC"),VLOOKUP($O63&amp;"_"&amp;$N63,Parametros_Orcam!$A:$H,COLUMN(Parametros_Orcam!$G$1),0)*$T63,0),0),0))),0)</f>
        <v>0</v>
      </c>
      <c r="W63" s="289">
        <f>IFERROR(IF($G63="C",IF(OR($M63="Outra OI",$M63="Outra Fonte"),ROUND(VLOOKUP($O63&amp;"_Contratado",Parametros_Orcam!$A:$H,COLUMN(Parametros_Orcam!$G$1),0)*$T63,0),0),
IF($G63="D",ROUND(VLOOKUP($P63&amp;"_Docente",Parametros_Orcam!$A:$H,COLUMN(Parametros_Orcam!G$16),0)*$T63,0),
IF($G63="B",ROUND(IF(OR($M63="Outra OI",$M63="Outra Fonte"),VLOOKUP($O63&amp;"_"&amp;$N63,Parametros_Orcam!$A:$H,COLUMN(Parametros_Orcam!$G$1),0)*$T63,0),0),0))),0)</f>
        <v>0</v>
      </c>
      <c r="X63" s="289">
        <f>IFERROR(IF($G63="D",ROUND(VLOOKUP($P63&amp;"_Docente",Parametros_Orcam!$A:$H,COLUMN(Parametros_Orcam!H$16),0)*(1+VLOOKUP($L63,IES,2,0)%+VLOOKUP($L63,IES,3,0)%)/1.25*$T63*$R63,0),
IF($G63="B",ROUND(VLOOKUP($O63&amp;"_"&amp;$N63,Parametros_Orcam!$A:$H,COLUMN(Parametros_Orcam!H$16),0)*$T63*$R63,0),0)),0)</f>
        <v>0</v>
      </c>
      <c r="Y63" s="289">
        <f t="shared" si="17"/>
        <v>0</v>
      </c>
      <c r="Z63" s="289" t="str">
        <f>IF(LEN($P63)&lt;2,"",$T63*INDEX(Dados_Gerais!$H$36:$H$41,MATCH($P63,Dados_Gerais!$D$36:$D$41,0)))</f>
        <v/>
      </c>
      <c r="AA63" s="86"/>
      <c r="AB63" s="181" t="str">
        <f t="shared" si="18"/>
        <v/>
      </c>
      <c r="AC63" s="86"/>
      <c r="AD63" s="181" t="str">
        <f t="shared" si="19"/>
        <v/>
      </c>
      <c r="AE63" s="242">
        <f t="shared" si="20"/>
        <v>0</v>
      </c>
      <c r="AF63" s="242">
        <f t="shared" si="21"/>
        <v>0</v>
      </c>
      <c r="AG63" s="78" t="str">
        <f t="shared" si="22"/>
        <v>C</v>
      </c>
    </row>
    <row r="64" spans="1:42" s="63" customFormat="1" ht="8.1" hidden="1" customHeight="1">
      <c r="A64" s="86" t="s">
        <v>189</v>
      </c>
      <c r="B64" s="55"/>
      <c r="C64" s="86"/>
      <c r="D64" s="86"/>
      <c r="E64" s="86"/>
      <c r="F64" s="86"/>
      <c r="G64" s="55"/>
      <c r="H64" s="55"/>
      <c r="I64" s="55"/>
      <c r="J64" s="46"/>
      <c r="K64" s="46"/>
      <c r="L64" s="46"/>
      <c r="N64" s="55"/>
      <c r="S64" s="415"/>
      <c r="T64" s="415"/>
      <c r="U64" s="415"/>
      <c r="V64" s="284"/>
      <c r="W64" s="284"/>
      <c r="X64" s="284"/>
      <c r="Y64" s="284"/>
      <c r="Z64" s="284"/>
      <c r="AB64" s="86"/>
      <c r="AD64" s="86"/>
      <c r="AE64" s="242"/>
      <c r="AF64" s="242"/>
      <c r="AG64" s="78"/>
      <c r="AH64" s="410"/>
      <c r="AI64" s="410"/>
      <c r="AJ64" s="410"/>
      <c r="AK64" s="410"/>
      <c r="AP64" s="46"/>
    </row>
    <row r="65" spans="1:33" s="22" customFormat="1" ht="24" customHeight="1">
      <c r="A65" s="86"/>
      <c r="B65" s="55"/>
      <c r="C65" s="86"/>
      <c r="D65" s="86"/>
      <c r="E65" s="86"/>
      <c r="F65" s="86"/>
      <c r="G65" s="28"/>
      <c r="H65" s="28"/>
      <c r="I65" s="28"/>
      <c r="J65" s="28"/>
      <c r="R65" s="24" t="s">
        <v>251</v>
      </c>
      <c r="S65" s="418">
        <f>SUMIFS(S$10:S$64,$E$10:$E$64,1)</f>
        <v>215</v>
      </c>
      <c r="T65" s="419">
        <f t="shared" ref="T65:Z65" si="23">SUMIFS(T$10:T$64,$E$10:$E$64,1)</f>
        <v>10.75</v>
      </c>
      <c r="U65" s="419">
        <f t="shared" si="23"/>
        <v>10.75</v>
      </c>
      <c r="V65" s="417">
        <f t="shared" si="23"/>
        <v>66791</v>
      </c>
      <c r="W65" s="417">
        <f t="shared" si="23"/>
        <v>0</v>
      </c>
      <c r="X65" s="417">
        <f t="shared" si="23"/>
        <v>0</v>
      </c>
      <c r="Y65" s="417">
        <f t="shared" si="23"/>
        <v>66791</v>
      </c>
      <c r="Z65" s="417">
        <f t="shared" si="23"/>
        <v>120200</v>
      </c>
      <c r="AA65" s="339"/>
      <c r="AB65" s="181"/>
      <c r="AC65" s="339"/>
      <c r="AD65" s="181"/>
      <c r="AE65" s="242"/>
      <c r="AF65" s="242"/>
      <c r="AG65" s="78"/>
    </row>
    <row r="66" spans="1:33" ht="14.45">
      <c r="A66" s="86"/>
      <c r="B66" s="55"/>
      <c r="C66" s="86"/>
      <c r="D66" s="86"/>
      <c r="E66" s="86"/>
      <c r="F66" s="86"/>
      <c r="G66" s="486" t="s">
        <v>252</v>
      </c>
      <c r="H66" s="47" t="s">
        <v>191</v>
      </c>
    </row>
    <row r="67" spans="1:33" s="22" customFormat="1" ht="24" hidden="1" customHeight="1">
      <c r="A67" s="86" t="s">
        <v>253</v>
      </c>
      <c r="B67" s="55" t="s">
        <v>254</v>
      </c>
      <c r="C67" s="86"/>
      <c r="D67" s="86"/>
      <c r="E67" s="86"/>
      <c r="F67" s="86"/>
      <c r="G67" s="28"/>
      <c r="H67" s="47" t="s">
        <v>255</v>
      </c>
      <c r="I67" s="28"/>
      <c r="J67" s="28"/>
      <c r="R67" s="24" t="s">
        <v>256</v>
      </c>
      <c r="S67" s="418">
        <f>SUMIFS(S$10:S$64,$E$10:$E$64,1,$B$10:$B$64,$B67)</f>
        <v>215</v>
      </c>
      <c r="T67" s="419">
        <f t="shared" ref="T67:Z68" si="24">SUMIFS(T$10:T$64,$E$10:$E$64,1,$B$10:$B$64,$B67)</f>
        <v>10.75</v>
      </c>
      <c r="U67" s="419">
        <f t="shared" si="24"/>
        <v>10.75</v>
      </c>
      <c r="V67" s="417">
        <f t="shared" si="24"/>
        <v>66791</v>
      </c>
      <c r="W67" s="417">
        <f t="shared" si="24"/>
        <v>0</v>
      </c>
      <c r="X67" s="417">
        <f t="shared" si="24"/>
        <v>0</v>
      </c>
      <c r="Y67" s="417">
        <f t="shared" si="24"/>
        <v>66791</v>
      </c>
      <c r="Z67" s="417">
        <f t="shared" si="24"/>
        <v>120200</v>
      </c>
      <c r="AA67" s="339"/>
      <c r="AB67" s="181"/>
      <c r="AC67" s="339"/>
      <c r="AD67" s="181"/>
      <c r="AE67" s="242"/>
      <c r="AF67" s="242"/>
      <c r="AG67" s="78"/>
    </row>
    <row r="68" spans="1:33" s="22" customFormat="1" ht="24" hidden="1" customHeight="1">
      <c r="A68" s="86" t="s">
        <v>257</v>
      </c>
      <c r="B68" s="55" t="s">
        <v>64</v>
      </c>
      <c r="C68" s="86"/>
      <c r="D68" s="86"/>
      <c r="E68" s="86"/>
      <c r="F68" s="86"/>
      <c r="G68" s="28"/>
      <c r="H68" s="28"/>
      <c r="I68" s="28"/>
      <c r="J68" s="28"/>
      <c r="R68" s="24" t="s">
        <v>258</v>
      </c>
      <c r="S68" s="418">
        <f>SUMIFS(S$10:S$64,$E$10:$E$64,1,$B$10:$B$64,$B68)</f>
        <v>0</v>
      </c>
      <c r="T68" s="419">
        <f t="shared" si="24"/>
        <v>0</v>
      </c>
      <c r="U68" s="419">
        <f t="shared" si="24"/>
        <v>0</v>
      </c>
      <c r="V68" s="417">
        <f t="shared" si="24"/>
        <v>0</v>
      </c>
      <c r="W68" s="417">
        <f t="shared" si="24"/>
        <v>0</v>
      </c>
      <c r="X68" s="417">
        <f t="shared" si="24"/>
        <v>0</v>
      </c>
      <c r="Y68" s="417">
        <f t="shared" si="24"/>
        <v>0</v>
      </c>
      <c r="Z68" s="417">
        <f t="shared" si="24"/>
        <v>0</v>
      </c>
      <c r="AA68" s="339"/>
      <c r="AB68" s="181"/>
      <c r="AC68" s="339"/>
      <c r="AD68" s="181"/>
      <c r="AE68" s="242"/>
      <c r="AF68" s="242"/>
      <c r="AG68" s="78"/>
    </row>
    <row r="69" spans="1:33" hidden="1">
      <c r="A69" s="86"/>
      <c r="B69" s="55"/>
      <c r="C69" s="86"/>
      <c r="D69" s="86"/>
      <c r="E69" s="86"/>
      <c r="F69" s="86"/>
      <c r="AG69" s="78" t="s">
        <v>190</v>
      </c>
    </row>
    <row r="70" spans="1:33" s="4" customFormat="1" ht="12.95" hidden="1">
      <c r="A70" s="86" t="s">
        <v>259</v>
      </c>
      <c r="B70" s="55"/>
      <c r="C70" s="86"/>
      <c r="D70" s="86"/>
      <c r="E70" s="86"/>
      <c r="F70" s="86"/>
      <c r="G70" s="285" t="s">
        <v>190</v>
      </c>
      <c r="H70" s="285"/>
      <c r="I70" s="285" t="s">
        <v>190</v>
      </c>
      <c r="J70" s="285" t="s">
        <v>190</v>
      </c>
      <c r="K70" s="285"/>
      <c r="L70" s="285" t="s">
        <v>190</v>
      </c>
      <c r="M70" s="285" t="s">
        <v>190</v>
      </c>
      <c r="N70" s="285" t="s">
        <v>190</v>
      </c>
      <c r="O70" s="285" t="s">
        <v>190</v>
      </c>
      <c r="P70" s="285"/>
      <c r="Q70" s="285"/>
      <c r="R70" s="285" t="s">
        <v>190</v>
      </c>
      <c r="S70" s="285"/>
      <c r="T70" s="285"/>
      <c r="U70" s="285"/>
      <c r="V70" s="285"/>
      <c r="W70" s="285" t="s">
        <v>260</v>
      </c>
      <c r="X70" s="285" t="s">
        <v>260</v>
      </c>
      <c r="Y70" s="285"/>
      <c r="Z70" s="285"/>
      <c r="AA70" s="340"/>
      <c r="AB70" s="181"/>
      <c r="AC70" s="340"/>
      <c r="AD70" s="181"/>
      <c r="AE70" s="242"/>
      <c r="AF70" s="242"/>
      <c r="AG70" s="78" t="s">
        <v>190</v>
      </c>
    </row>
    <row r="71" spans="1:33" s="4" customFormat="1" ht="12.95" hidden="1">
      <c r="A71" s="86" t="s">
        <v>261</v>
      </c>
      <c r="B71" s="55"/>
      <c r="C71" s="86"/>
      <c r="D71" s="86"/>
      <c r="E71" s="86"/>
      <c r="F71" s="86"/>
      <c r="G71" s="285" t="s">
        <v>254</v>
      </c>
      <c r="H71" s="288" t="str">
        <f>"M=" &amp;CONCATENATEMULTIPLE($L$5:$P$5,",")</f>
        <v>M=CESE,0,0,0,0</v>
      </c>
      <c r="I71" s="285" t="s">
        <v>190</v>
      </c>
      <c r="J71" s="285" t="s">
        <v>190</v>
      </c>
      <c r="K71" s="285" t="s">
        <v>262</v>
      </c>
      <c r="L71" s="285" t="s">
        <v>190</v>
      </c>
      <c r="M71" s="285" t="s">
        <v>190</v>
      </c>
      <c r="N71" s="285" t="s">
        <v>190</v>
      </c>
      <c r="O71" s="285" t="s">
        <v>190</v>
      </c>
      <c r="P71" s="285" t="s">
        <v>263</v>
      </c>
      <c r="Q71" s="354" t="str">
        <f>"M=" &amp;CONCATENATEMULTIPLE(Funcoes,",")</f>
        <v>M=Responsável Projeto–F0,Responsável Projeto–F1,Responsável Projeto–F2,Responsável Projeto–F3,Investigador Coordenador-A,Investigador Coordenador,Investigador Principal,Investigador Sénior,Investigador,Investigador Adjunto</v>
      </c>
      <c r="R71" s="287" t="s">
        <v>190</v>
      </c>
      <c r="S71" s="285" t="s">
        <v>264</v>
      </c>
      <c r="T71" s="285"/>
      <c r="U71" s="285"/>
      <c r="V71" s="285"/>
      <c r="W71" s="285" t="s">
        <v>260</v>
      </c>
      <c r="X71" s="285" t="s">
        <v>260</v>
      </c>
      <c r="Y71" s="285"/>
      <c r="Z71" s="285"/>
      <c r="AA71" s="340"/>
      <c r="AB71" s="181"/>
      <c r="AC71" s="340"/>
      <c r="AD71" s="181"/>
      <c r="AE71" s="242"/>
      <c r="AF71" s="242"/>
      <c r="AG71" s="78" t="s">
        <v>190</v>
      </c>
    </row>
    <row r="72" spans="1:33" hidden="1">
      <c r="A72" s="86"/>
      <c r="B72" s="55"/>
      <c r="C72" s="86"/>
      <c r="D72" s="86"/>
      <c r="E72" s="86"/>
      <c r="F72" s="86"/>
      <c r="AG72" s="78" t="s">
        <v>190</v>
      </c>
    </row>
    <row r="73" spans="1:33" s="4" customFormat="1" ht="12.95" hidden="1">
      <c r="A73" s="86" t="s">
        <v>265</v>
      </c>
      <c r="B73" s="55"/>
      <c r="C73" s="86"/>
      <c r="D73" s="86"/>
      <c r="E73" s="86"/>
      <c r="F73" s="86"/>
      <c r="G73" s="285" t="s">
        <v>190</v>
      </c>
      <c r="H73" s="285"/>
      <c r="I73" s="285"/>
      <c r="J73" s="285"/>
      <c r="K73" s="285"/>
      <c r="L73" s="285"/>
      <c r="M73" s="285"/>
      <c r="N73" s="285"/>
      <c r="O73" s="285"/>
      <c r="P73" s="285"/>
      <c r="Q73" s="285"/>
      <c r="R73" s="285"/>
      <c r="S73" s="285"/>
      <c r="T73" s="285"/>
      <c r="U73" s="285"/>
      <c r="V73" s="285"/>
      <c r="W73" s="285"/>
      <c r="X73" s="285"/>
      <c r="Y73" s="285"/>
      <c r="Z73" s="285"/>
      <c r="AA73" s="340"/>
      <c r="AB73" s="181"/>
      <c r="AC73" s="340"/>
      <c r="AD73" s="181"/>
      <c r="AE73" s="242"/>
      <c r="AF73" s="242"/>
      <c r="AG73" s="78" t="s">
        <v>190</v>
      </c>
    </row>
    <row r="74" spans="1:33" s="4" customFormat="1" ht="12.95" hidden="1">
      <c r="A74" s="86" t="s">
        <v>266</v>
      </c>
      <c r="B74" s="55"/>
      <c r="C74" s="86"/>
      <c r="D74" s="86"/>
      <c r="E74" s="86"/>
      <c r="F74" s="86"/>
      <c r="G74" s="285" t="s">
        <v>254</v>
      </c>
      <c r="H74" s="288" t="str">
        <f>"M=" &amp;CONCATENATEMULTIPLE($L$5:$P$5,",")</f>
        <v>M=CESE,0,0,0,0</v>
      </c>
      <c r="I74" s="288" t="s">
        <v>267</v>
      </c>
      <c r="J74" s="288" t="str">
        <f>"M=Ativo,Novo"</f>
        <v>M=Ativo,Novo</v>
      </c>
      <c r="K74" s="285" t="s">
        <v>264</v>
      </c>
      <c r="L74" s="285" t="s">
        <v>268</v>
      </c>
      <c r="M74" s="288" t="s">
        <v>269</v>
      </c>
      <c r="N74" s="285" t="s">
        <v>190</v>
      </c>
      <c r="O74" s="288" t="str">
        <f>"M=" &amp;CONCATENATEMULTIPLE(Lista_PF,",")</f>
        <v>M=,F0,F1,F2,F3,F3A,F4,F4A,F5,,,,,</v>
      </c>
      <c r="P74" s="285" t="s">
        <v>263</v>
      </c>
      <c r="Q74" s="354" t="str">
        <f>"M=" &amp;CONCATENATEMULTIPLE(Funcoes,",")</f>
        <v>M=Responsável Projeto–F0,Responsável Projeto–F1,Responsável Projeto–F2,Responsável Projeto–F3,Investigador Coordenador-A,Investigador Coordenador,Investigador Principal,Investigador Sénior,Investigador,Investigador Adjunto</v>
      </c>
      <c r="R74" s="287" t="s">
        <v>190</v>
      </c>
      <c r="S74" s="285" t="s">
        <v>264</v>
      </c>
      <c r="T74" s="285"/>
      <c r="U74" s="285"/>
      <c r="V74" s="285"/>
      <c r="W74" s="285"/>
      <c r="X74" s="285" t="s">
        <v>260</v>
      </c>
      <c r="Y74" s="285"/>
      <c r="Z74" s="285"/>
      <c r="AA74" s="340"/>
      <c r="AB74" s="181"/>
      <c r="AC74" s="340"/>
      <c r="AD74" s="181"/>
      <c r="AE74" s="242"/>
      <c r="AF74" s="242"/>
      <c r="AG74" s="78" t="s">
        <v>190</v>
      </c>
    </row>
    <row r="75" spans="1:33" s="4" customFormat="1" ht="12.95" hidden="1">
      <c r="A75" s="86" t="s">
        <v>270</v>
      </c>
      <c r="B75" s="55"/>
      <c r="C75" s="86"/>
      <c r="D75" s="86"/>
      <c r="E75" s="86"/>
      <c r="F75" s="86"/>
      <c r="G75" s="285" t="s">
        <v>264</v>
      </c>
      <c r="H75" s="288" t="str">
        <f>"M=" &amp;CONCATENATEMULTIPLE($L$5:$P$5,",")</f>
        <v>M=CESE,0,0,0,0</v>
      </c>
      <c r="I75" s="288" t="s">
        <v>267</v>
      </c>
      <c r="J75" s="285" t="s">
        <v>190</v>
      </c>
      <c r="K75" s="285" t="s">
        <v>264</v>
      </c>
      <c r="L75" s="288" t="str">
        <f>"M=" &amp;CONCATENATEMULTIPLE(IES_Lista,",")</f>
        <v>M=,UP-FEUP,UP-FCUP,UP-FEP,UP-FCNA,UP-FBAUP,IPP-ISEP,IPP-ISCAP,IPP-ESTGF,IPP-ESMAE,IPP-ESEIG,UM,UTAD,IPB,UMa,UAb,IPV,IPVC,IPLeiria,Outra,,,,,,</v>
      </c>
      <c r="M75" s="288" t="s">
        <v>271</v>
      </c>
      <c r="N75" s="285" t="s">
        <v>190</v>
      </c>
      <c r="O75" s="285" t="s">
        <v>190</v>
      </c>
      <c r="P75" s="285" t="s">
        <v>263</v>
      </c>
      <c r="Q75" s="354" t="str">
        <f>"M=" &amp;CONCATENATEMULTIPLE(Parametros_Orcam!$D$5:$D$13,",")</f>
        <v>M=Responsável Projeto–F0,Responsável Projeto–F1,Responsável Projeto–F2,Responsável Projeto–F3,Investigador Coordenador-A,Investigador Coordenador,Investigador Principal,Investigador Sénior,Investigador</v>
      </c>
      <c r="R75" s="287" t="s">
        <v>272</v>
      </c>
      <c r="S75" s="285" t="s">
        <v>264</v>
      </c>
      <c r="T75" s="285"/>
      <c r="U75" s="285"/>
      <c r="V75" s="285" t="s">
        <v>260</v>
      </c>
      <c r="W75" s="285"/>
      <c r="X75" s="285"/>
      <c r="Y75" s="285"/>
      <c r="Z75" s="285"/>
      <c r="AA75" s="340"/>
      <c r="AB75" s="181"/>
      <c r="AC75" s="340"/>
      <c r="AD75" s="181"/>
      <c r="AE75" s="242"/>
      <c r="AF75" s="242"/>
      <c r="AG75" s="78" t="s">
        <v>190</v>
      </c>
    </row>
    <row r="76" spans="1:33" s="4" customFormat="1" ht="12.95" hidden="1">
      <c r="A76" s="86" t="s">
        <v>273</v>
      </c>
      <c r="B76" s="55"/>
      <c r="C76" s="86"/>
      <c r="D76" s="86"/>
      <c r="E76" s="86"/>
      <c r="F76" s="86"/>
      <c r="G76" s="285" t="s">
        <v>274</v>
      </c>
      <c r="H76" s="288" t="str">
        <f>"M=" &amp;CONCATENATEMULTIPLE($L$5:$P$5,",")</f>
        <v>M=CESE,0,0,0,0</v>
      </c>
      <c r="I76" s="288" t="s">
        <v>267</v>
      </c>
      <c r="J76" s="288" t="str">
        <f>"M=Ativo,Novo"</f>
        <v>M=Ativo,Novo</v>
      </c>
      <c r="K76" s="285" t="s">
        <v>264</v>
      </c>
      <c r="L76" s="288" t="str">
        <f>"M=" &amp;CONCATENATEMULTIPLE(Inst_Vinc_Lista,",")</f>
        <v>M=,INESCTEC,FCT,UP-FEUP,UP-FCUP,UP-FEP,UP-FCNA,UP-FBAUP,IPP-ISEP,IPP-ISCAP,IPP-ESTGF,IPP-ESMAE,IPP-ESEIG,UM,UTAD,IPB,UMa,UAb,IPV,IPVC,IPLeiria,Outra,,,,</v>
      </c>
      <c r="M76" s="288" t="s">
        <v>275</v>
      </c>
      <c r="N76" s="288" t="s">
        <v>276</v>
      </c>
      <c r="O76" s="288" t="s">
        <v>277</v>
      </c>
      <c r="P76" s="285" t="s">
        <v>263</v>
      </c>
      <c r="Q76" s="354" t="str">
        <f>"M=" &amp;CONCATENATEMULTIPLE(Parametros_Orcam!$D$5:$D$14,",")</f>
        <v>M=Responsável Projeto–F0,Responsável Projeto–F1,Responsável Projeto–F2,Responsável Projeto–F3,Investigador Coordenador-A,Investigador Coordenador,Investigador Principal,Investigador Sénior,Investigador,Investigador Adjunto</v>
      </c>
      <c r="R76" s="287" t="s">
        <v>278</v>
      </c>
      <c r="S76" s="285" t="s">
        <v>264</v>
      </c>
      <c r="T76" s="285"/>
      <c r="U76" s="285"/>
      <c r="V76" s="285"/>
      <c r="W76" s="285"/>
      <c r="X76" s="285"/>
      <c r="Y76" s="285"/>
      <c r="Z76" s="285"/>
      <c r="AA76" s="340"/>
      <c r="AB76" s="181"/>
      <c r="AC76" s="340"/>
      <c r="AD76" s="181"/>
      <c r="AE76" s="242"/>
      <c r="AF76" s="242"/>
      <c r="AG76" s="78" t="s">
        <v>190</v>
      </c>
    </row>
    <row r="77" spans="1:33" s="78" customFormat="1" ht="12.95" hidden="1">
      <c r="A77" s="247" t="s">
        <v>106</v>
      </c>
      <c r="B77" s="78" t="s">
        <v>190</v>
      </c>
      <c r="C77" s="247" t="s">
        <v>190</v>
      </c>
      <c r="D77" s="247" t="s">
        <v>190</v>
      </c>
      <c r="E77" s="247" t="s">
        <v>190</v>
      </c>
      <c r="F77" s="247" t="s">
        <v>190</v>
      </c>
      <c r="G77" s="305" t="s">
        <v>12</v>
      </c>
      <c r="H77" s="78" t="s">
        <v>12</v>
      </c>
      <c r="I77" s="78" t="s">
        <v>12</v>
      </c>
      <c r="J77" s="78" t="s">
        <v>12</v>
      </c>
      <c r="K77" s="78" t="s">
        <v>12</v>
      </c>
      <c r="L77" s="78" t="s">
        <v>12</v>
      </c>
      <c r="M77" s="78" t="s">
        <v>12</v>
      </c>
      <c r="N77" s="78" t="s">
        <v>12</v>
      </c>
      <c r="O77" s="78" t="s">
        <v>12</v>
      </c>
      <c r="P77" s="78" t="s">
        <v>12</v>
      </c>
      <c r="Q77" s="78" t="s">
        <v>12</v>
      </c>
      <c r="R77" s="78" t="s">
        <v>12</v>
      </c>
      <c r="S77" s="78" t="s">
        <v>12</v>
      </c>
      <c r="T77" s="78" t="s">
        <v>12</v>
      </c>
      <c r="U77" s="78" t="s">
        <v>12</v>
      </c>
      <c r="V77" s="78" t="s">
        <v>12</v>
      </c>
      <c r="W77" s="78" t="s">
        <v>12</v>
      </c>
      <c r="X77" s="78" t="s">
        <v>12</v>
      </c>
      <c r="Y77" s="78" t="s">
        <v>12</v>
      </c>
      <c r="Z77" s="78" t="s">
        <v>12</v>
      </c>
      <c r="AA77" s="78" t="s">
        <v>12</v>
      </c>
      <c r="AB77" s="78" t="s">
        <v>12</v>
      </c>
      <c r="AC77" s="78" t="str">
        <f>IF(opcao_tabela="Simplificado + Detalhado","V","X")</f>
        <v>X</v>
      </c>
      <c r="AD77" s="78" t="str">
        <f>IF(opcao_tabela="Simplificado + Detalhado","V","X")</f>
        <v>X</v>
      </c>
      <c r="AE77" s="490" t="s">
        <v>190</v>
      </c>
      <c r="AF77" s="490" t="s">
        <v>190</v>
      </c>
      <c r="AG77" s="78" t="s">
        <v>190</v>
      </c>
    </row>
    <row r="78" spans="1:33">
      <c r="A78" s="55"/>
      <c r="B78" s="55"/>
      <c r="C78" s="55"/>
      <c r="D78" s="55"/>
      <c r="E78" s="55"/>
      <c r="F78" s="55"/>
      <c r="V78"/>
      <c r="W78"/>
      <c r="X78"/>
    </row>
    <row r="79" spans="1:33">
      <c r="A79" s="55"/>
      <c r="B79" s="55"/>
      <c r="C79" s="55"/>
      <c r="D79" s="55"/>
      <c r="E79" s="55"/>
      <c r="F79" s="55"/>
    </row>
    <row r="80" spans="1:33" s="63" customFormat="1" ht="12.95">
      <c r="AB80" s="181"/>
      <c r="AD80" s="181"/>
      <c r="AE80" s="242"/>
      <c r="AF80" s="242"/>
      <c r="AG80" s="78"/>
    </row>
    <row r="81" spans="28:30">
      <c r="AB81" s="43"/>
      <c r="AD81" s="43"/>
    </row>
    <row r="82" spans="28:30">
      <c r="AB82" s="337"/>
      <c r="AD82" s="337"/>
    </row>
  </sheetData>
  <sheetProtection algorithmName="SHA-512" hashValue="UpaeDXfoOSpykhoPsfadB+MdYkDX2cStE3+IlRqR9xGYgkXsuFwEjNZ4Sr88Gz9p8MebW1STe6acMFupy21EFg==" saltValue="4zXIuWlMY3+OmJ+kMMmqeg==" spinCount="100000" sheet="1" objects="1" scenarios="1"/>
  <sortState xmlns:xlrd2="http://schemas.microsoft.com/office/spreadsheetml/2017/richdata2" ref="A34:AB63">
    <sortCondition ref="H34"/>
  </sortState>
  <mergeCells count="32">
    <mergeCell ref="AD3:AD7"/>
    <mergeCell ref="AB3:AB7"/>
    <mergeCell ref="G7:G8"/>
    <mergeCell ref="I7:I8"/>
    <mergeCell ref="J7:J8"/>
    <mergeCell ref="K7:K8"/>
    <mergeCell ref="H7:H8"/>
    <mergeCell ref="I3:I4"/>
    <mergeCell ref="J3:J4"/>
    <mergeCell ref="R7:R8"/>
    <mergeCell ref="T7:T8"/>
    <mergeCell ref="N7:N8"/>
    <mergeCell ref="S7:S8"/>
    <mergeCell ref="Q7:Q8"/>
    <mergeCell ref="L3:M3"/>
    <mergeCell ref="U2:V4"/>
    <mergeCell ref="B1:B5"/>
    <mergeCell ref="C1:C5"/>
    <mergeCell ref="A1:A5"/>
    <mergeCell ref="F1:F5"/>
    <mergeCell ref="E1:E5"/>
    <mergeCell ref="D1:D5"/>
    <mergeCell ref="X7:X8"/>
    <mergeCell ref="Z7:Z8"/>
    <mergeCell ref="U7:U8"/>
    <mergeCell ref="Y7:Y8"/>
    <mergeCell ref="V7:W7"/>
    <mergeCell ref="R2:T4"/>
    <mergeCell ref="L7:L8"/>
    <mergeCell ref="O7:P7"/>
    <mergeCell ref="M7:M8"/>
    <mergeCell ref="U10:V10"/>
  </mergeCells>
  <conditionalFormatting sqref="K34:K64">
    <cfRule type="duplicateValues" dxfId="97" priority="118"/>
  </conditionalFormatting>
  <conditionalFormatting sqref="L5:P5">
    <cfRule type="cellIs" dxfId="96" priority="28" operator="equal">
      <formula>0</formula>
    </cfRule>
  </conditionalFormatting>
  <conditionalFormatting sqref="S34:S64">
    <cfRule type="expression" dxfId="95" priority="24">
      <formula>$AD34="I"</formula>
    </cfRule>
  </conditionalFormatting>
  <conditionalFormatting sqref="K11:K30">
    <cfRule type="duplicateValues" dxfId="94" priority="9"/>
  </conditionalFormatting>
  <conditionalFormatting sqref="S11:S30">
    <cfRule type="expression" dxfId="93" priority="5">
      <formula>$AD11="I"</formula>
    </cfRule>
  </conditionalFormatting>
  <conditionalFormatting sqref="AB1:AB3 AB9:AB1048576">
    <cfRule type="cellIs" dxfId="92" priority="17" operator="equal">
      <formula>"F"</formula>
    </cfRule>
    <cfRule type="cellIs" dxfId="91" priority="18" operator="equal">
      <formula>"V"</formula>
    </cfRule>
  </conditionalFormatting>
  <conditionalFormatting sqref="AD1:AD3 AD8:AD1048576">
    <cfRule type="cellIs" dxfId="90" priority="7" operator="equal">
      <formula>"V"</formula>
    </cfRule>
    <cfRule type="cellIs" dxfId="89" priority="8" operator="equal">
      <formula>"I"</formula>
    </cfRule>
  </conditionalFormatting>
  <conditionalFormatting sqref="AB8">
    <cfRule type="cellIs" dxfId="88" priority="1" operator="equal">
      <formula>"V"</formula>
    </cfRule>
    <cfRule type="cellIs" dxfId="87" priority="2" operator="equal">
      <formula>"I"</formula>
    </cfRule>
  </conditionalFormatting>
  <dataValidations count="11">
    <dataValidation type="list" allowBlank="1" showInputMessage="1" showErrorMessage="1" sqref="G34:G63" xr:uid="{1727DD7B-D182-482D-8A23-DC3607C7A144}">
      <formula1>"C,D,B"</formula1>
    </dataValidation>
    <dataValidation type="list" allowBlank="1" showInputMessage="1" showErrorMessage="1" sqref="H34:H63 H11:H30" xr:uid="{5063E111-2C7D-4087-B0EE-1ED8DCB84295}">
      <formula1>Centros_Proj</formula1>
    </dataValidation>
    <dataValidation type="list" allowBlank="1" showInputMessage="1" showErrorMessage="1" sqref="I34:I63" xr:uid="{DF47CE85-4F65-4A21-8C71-448D834E30A9}">
      <formula1>EC_Lista</formula1>
    </dataValidation>
    <dataValidation type="list" allowBlank="1" showInputMessage="1" showErrorMessage="1" sqref="L34:L63" xr:uid="{E228FC9A-1FDB-4A40-A05E-8606AD294733}">
      <formula1>Inst_Vinc_Lista</formula1>
    </dataValidation>
    <dataValidation type="list" allowBlank="1" showInputMessage="1" showErrorMessage="1" sqref="N34:N63" xr:uid="{D73106CF-78FA-4918-9C5F-4551C5556283}">
      <formula1>Tipo_Bolsa</formula1>
    </dataValidation>
    <dataValidation type="list" allowBlank="1" showInputMessage="1" showErrorMessage="1" sqref="O34:O63" xr:uid="{C1F6F856-2856-410C-9E47-5CFBA4A9569E}">
      <formula1>Lista_PF</formula1>
    </dataValidation>
    <dataValidation type="list" allowBlank="1" showInputMessage="1" showErrorMessage="1" sqref="Q34:Q63 Q11:Q30" xr:uid="{92960144-DBDC-47DC-BE07-27F58CF5977E}">
      <formula1>Funcoes</formula1>
    </dataValidation>
    <dataValidation type="list" allowBlank="1" showInputMessage="1" showErrorMessage="1" sqref="M34:M63" xr:uid="{9B7A4329-FF4A-4D17-945F-9F4B7ACC9EA0}">
      <formula1>"OI Geral,OI EC,Outra OI,Outra Fonte"</formula1>
    </dataValidation>
    <dataValidation type="list" allowBlank="1" showInputMessage="1" showErrorMessage="1" sqref="J34:J63" xr:uid="{63AD050A-A754-421F-85ED-F7849DC816C6}">
      <formula1>"Ativo,Novo"</formula1>
    </dataValidation>
    <dataValidation type="list" allowBlank="1" showInputMessage="1" showErrorMessage="1" sqref="J3" xr:uid="{CFD90D2D-639E-40B8-96AA-275327B7BA56}">
      <formula1>"Centro,Ligação,PF,Nome"</formula1>
    </dataValidation>
    <dataValidation type="list" showInputMessage="1" showErrorMessage="1" sqref="U2" xr:uid="{D7F20580-56CC-4A87-B507-425387360DBA}">
      <formula1>"Simplificado,Detalhado,Simplificado + Detalhado"</formula1>
    </dataValidation>
  </dataValidations>
  <printOptions horizontalCentered="1"/>
  <pageMargins left="0.39370078740157483" right="0.39370078740157483" top="0.78740157480314965" bottom="0.23622047244094491" header="0.39370078740157483" footer="0.19685039370078741"/>
  <pageSetup paperSize="9" scale="55" fitToWidth="0" fitToHeight="0" orientation="landscape" horizontalDpi="1200" verticalDpi="1200" r:id="rId1"/>
  <headerFooter>
    <oddHeader>&amp;L&amp;G&amp;C&amp;"Arial,Bold"
&amp;14PROJETO DE SERVIÇOS DE I&amp;&amp;D E CONSULTORIA</oddHeader>
  </headerFooter>
  <drawing r:id="rId2"/>
  <legacyDrawing r:id="rId3"/>
  <legacyDrawingHF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FFFF00"/>
  </sheetPr>
  <dimension ref="A1:AI103"/>
  <sheetViews>
    <sheetView showGridLines="0" zoomScale="90" zoomScaleNormal="90" workbookViewId="0">
      <pane ySplit="8" topLeftCell="A9" activePane="bottomLeft" state="frozen"/>
      <selection pane="bottomLeft" activeCell="F1" sqref="F1"/>
      <selection activeCell="V15" sqref="V15"/>
    </sheetView>
  </sheetViews>
  <sheetFormatPr defaultColWidth="9.140625" defaultRowHeight="14.1"/>
  <cols>
    <col min="1" max="1" width="6.5703125" style="55" hidden="1" customWidth="1"/>
    <col min="2" max="5" width="6.5703125" style="52" hidden="1" customWidth="1"/>
    <col min="6" max="6" width="12.5703125" style="15" customWidth="1"/>
    <col min="7" max="7" width="34.140625" style="3" customWidth="1"/>
    <col min="8" max="12" width="14.5703125" style="3" customWidth="1"/>
    <col min="13" max="14" width="12.5703125" style="3" customWidth="1"/>
    <col min="15" max="16" width="30.5703125" style="3" customWidth="1"/>
    <col min="17" max="17" width="1.5703125" style="197" customWidth="1"/>
    <col min="18" max="18" width="4.5703125" style="48" customWidth="1"/>
    <col min="19" max="19" width="9.140625" style="242" customWidth="1"/>
    <col min="20" max="24" width="9.140625" style="48" customWidth="1"/>
    <col min="25" max="27" width="9.140625" style="3" customWidth="1"/>
    <col min="28" max="16384" width="9.140625" style="3"/>
  </cols>
  <sheetData>
    <row r="1" spans="1:35" ht="24" customHeight="1">
      <c r="A1" s="601" t="s">
        <v>279</v>
      </c>
      <c r="B1" s="574" t="s">
        <v>98</v>
      </c>
      <c r="D1" s="574" t="s">
        <v>280</v>
      </c>
      <c r="F1" s="538" t="s">
        <v>99</v>
      </c>
      <c r="G1" s="538"/>
      <c r="H1" s="538"/>
      <c r="I1" s="15"/>
      <c r="J1" s="15"/>
      <c r="K1" s="407" t="s">
        <v>281</v>
      </c>
      <c r="L1" s="15"/>
      <c r="M1" s="15"/>
      <c r="R1" s="181" t="str">
        <f>IF(COUNTIFS(R$8:R$46,"F")&gt;0,"F","V")</f>
        <v>V</v>
      </c>
    </row>
    <row r="2" spans="1:35" s="324" customFormat="1" ht="9.9499999999999993" customHeight="1">
      <c r="A2" s="601"/>
      <c r="B2" s="574"/>
      <c r="C2" s="335"/>
      <c r="D2" s="574"/>
      <c r="E2" s="335"/>
      <c r="F2" s="538"/>
      <c r="G2" s="538"/>
      <c r="H2" s="538"/>
      <c r="I2" s="332"/>
      <c r="J2" s="332"/>
      <c r="K2" s="332"/>
      <c r="L2" s="332"/>
      <c r="M2" s="332"/>
      <c r="N2" s="332"/>
      <c r="O2" s="332"/>
      <c r="P2" s="332"/>
      <c r="Q2" s="495"/>
      <c r="R2" s="330"/>
      <c r="S2" s="344"/>
      <c r="T2" s="330"/>
      <c r="U2" s="330"/>
      <c r="V2" s="330"/>
      <c r="W2" s="330"/>
      <c r="X2" s="330"/>
    </row>
    <row r="3" spans="1:35" s="14" customFormat="1" ht="15.75" customHeight="1">
      <c r="A3" s="601"/>
      <c r="B3" s="574"/>
      <c r="C3" s="53"/>
      <c r="D3" s="574"/>
      <c r="E3" s="53"/>
      <c r="F3" s="13"/>
      <c r="G3" s="77" t="s">
        <v>202</v>
      </c>
      <c r="H3" s="591" t="str">
        <f>Projeto</f>
        <v>Amorim_OT_F1</v>
      </c>
      <c r="I3" s="592"/>
      <c r="J3" s="77" t="s">
        <v>203</v>
      </c>
      <c r="K3" s="321">
        <f>Inicio</f>
        <v>46023</v>
      </c>
      <c r="L3" s="77" t="s">
        <v>204</v>
      </c>
      <c r="M3" s="321">
        <f>Fim</f>
        <v>46368</v>
      </c>
      <c r="Q3" s="496"/>
      <c r="R3" s="242"/>
      <c r="S3" s="242"/>
      <c r="T3" s="49"/>
      <c r="U3" s="49"/>
      <c r="V3" s="49"/>
      <c r="W3" s="49"/>
      <c r="X3" s="49"/>
    </row>
    <row r="4" spans="1:35" ht="9" customHeight="1">
      <c r="A4" s="601"/>
      <c r="B4" s="574"/>
      <c r="D4" s="574"/>
      <c r="F4" s="3"/>
      <c r="K4" s="14"/>
      <c r="L4" s="14"/>
      <c r="P4" s="14"/>
      <c r="R4" s="585" t="s">
        <v>205</v>
      </c>
      <c r="S4" s="340"/>
    </row>
    <row r="5" spans="1:35" s="14" customFormat="1" ht="15.6">
      <c r="A5" s="601"/>
      <c r="B5" s="574"/>
      <c r="C5" s="53"/>
      <c r="D5" s="574"/>
      <c r="E5" s="53"/>
      <c r="F5" s="13"/>
      <c r="G5" s="77" t="s">
        <v>207</v>
      </c>
      <c r="H5" s="315" t="str">
        <f>Centro_Prop</f>
        <v>CESE</v>
      </c>
      <c r="I5" s="315">
        <f>Centro1</f>
        <v>0</v>
      </c>
      <c r="J5" s="315">
        <f>Centro2</f>
        <v>0</v>
      </c>
      <c r="K5" s="315">
        <f>Centro3</f>
        <v>0</v>
      </c>
      <c r="L5" s="316">
        <f>Centro4</f>
        <v>0</v>
      </c>
      <c r="N5"/>
      <c r="O5"/>
      <c r="Q5" s="197"/>
      <c r="R5" s="585"/>
      <c r="S5" s="340"/>
      <c r="T5" s="49"/>
      <c r="U5" s="49"/>
      <c r="V5" s="49"/>
      <c r="W5" s="49"/>
      <c r="X5" s="49"/>
    </row>
    <row r="6" spans="1:35" s="78" customFormat="1" ht="9.9499999999999993" customHeight="1">
      <c r="A6" s="78" t="s">
        <v>101</v>
      </c>
      <c r="B6" s="78" t="s">
        <v>102</v>
      </c>
      <c r="C6" s="78" t="s">
        <v>282</v>
      </c>
      <c r="D6" s="491" t="s">
        <v>283</v>
      </c>
      <c r="E6" s="78" t="s">
        <v>284</v>
      </c>
      <c r="F6" s="78" t="s">
        <v>51</v>
      </c>
      <c r="G6" s="78" t="s">
        <v>285</v>
      </c>
      <c r="H6" s="78" t="s">
        <v>95</v>
      </c>
      <c r="I6" s="78" t="s">
        <v>286</v>
      </c>
      <c r="J6" s="78" t="s">
        <v>287</v>
      </c>
      <c r="Q6" s="78" t="s">
        <v>106</v>
      </c>
      <c r="R6" s="585"/>
      <c r="Y6" s="492"/>
      <c r="Z6" s="492"/>
      <c r="AA6" s="493"/>
      <c r="AB6" s="493"/>
      <c r="AC6" s="493"/>
      <c r="AD6" s="494"/>
    </row>
    <row r="7" spans="1:35" ht="45" customHeight="1">
      <c r="F7" s="182" t="s">
        <v>288</v>
      </c>
      <c r="G7" s="182" t="s">
        <v>85</v>
      </c>
      <c r="H7" s="182" t="s">
        <v>289</v>
      </c>
      <c r="I7" s="276" t="s">
        <v>290</v>
      </c>
      <c r="J7" s="565" t="s">
        <v>89</v>
      </c>
      <c r="K7" s="566"/>
      <c r="L7" s="566"/>
      <c r="M7" s="566"/>
      <c r="N7" s="566"/>
      <c r="O7" s="566"/>
      <c r="P7" s="567"/>
      <c r="Q7" s="201"/>
      <c r="R7" s="585"/>
    </row>
    <row r="8" spans="1:35" s="63" customFormat="1" ht="18" customHeight="1">
      <c r="A8" s="248"/>
      <c r="B8" s="248"/>
      <c r="C8" s="248"/>
      <c r="D8" s="248"/>
      <c r="E8" s="248"/>
      <c r="F8" s="248"/>
      <c r="G8" s="248"/>
      <c r="H8" s="248"/>
      <c r="I8" s="535"/>
      <c r="Q8" s="201"/>
      <c r="R8" s="536" t="s">
        <v>239</v>
      </c>
      <c r="AA8" s="410"/>
      <c r="AB8" s="410"/>
      <c r="AC8" s="410"/>
      <c r="AD8" s="410"/>
    </row>
    <row r="9" spans="1:35" ht="24" customHeight="1">
      <c r="F9" s="556" t="s">
        <v>291</v>
      </c>
      <c r="G9" s="556"/>
      <c r="H9" s="556"/>
      <c r="I9" s="556"/>
      <c r="J9" s="556"/>
      <c r="K9" s="556"/>
      <c r="L9" s="556"/>
      <c r="M9" s="556"/>
      <c r="N9" s="556"/>
      <c r="O9" s="556"/>
      <c r="P9" s="556"/>
      <c r="Q9" s="201"/>
      <c r="R9" s="63"/>
      <c r="S9" s="71" t="s">
        <v>292</v>
      </c>
    </row>
    <row r="10" spans="1:35" s="91" customFormat="1" ht="8.1" customHeight="1">
      <c r="A10" s="46" t="s">
        <v>108</v>
      </c>
      <c r="B10" s="46"/>
      <c r="C10" s="46"/>
      <c r="D10" s="46"/>
      <c r="E10" s="46"/>
      <c r="F10" s="46"/>
      <c r="G10" s="46"/>
      <c r="H10" s="55"/>
      <c r="I10" s="55"/>
      <c r="J10" s="176"/>
      <c r="K10" s="176"/>
      <c r="L10" s="176"/>
      <c r="M10" s="176"/>
      <c r="N10" s="176"/>
      <c r="O10" s="176"/>
      <c r="P10" s="176"/>
      <c r="Q10" s="197"/>
      <c r="R10" s="48"/>
      <c r="S10" s="557"/>
      <c r="T10" s="557"/>
      <c r="U10" s="557"/>
      <c r="V10" s="557"/>
      <c r="W10" s="177"/>
      <c r="X10" s="180"/>
      <c r="Y10" s="176"/>
      <c r="Z10" s="176"/>
      <c r="AA10" s="178"/>
      <c r="AB10" s="178"/>
      <c r="AC10" s="178"/>
      <c r="AD10" s="179"/>
      <c r="AI10" s="46"/>
    </row>
    <row r="11" spans="1:35" ht="15.95" customHeight="1">
      <c r="A11" s="46" t="s">
        <v>293</v>
      </c>
      <c r="B11" s="55" t="str">
        <f>IF($F11&amp;$G11&amp;$H11&amp;$I11="","X",IF(OR($F11="",$G11="",$H11=0,$I11=""),0,1))</f>
        <v>X</v>
      </c>
      <c r="C11" s="55" t="str">
        <f ca="1">IF($B11&lt;&gt;1,"","O-"&amp;TEXT(SUM(INDIRECT(ADDRESS(ROW($B$10),COLUMN()-1)&amp;":"&amp;ADDRESS(ROW()-1,COLUMN()-1)))+1,"00"))</f>
        <v/>
      </c>
      <c r="D11" s="55" t="str">
        <f>IF($B11&lt;&gt;1,$B11,IF($I11="Não","X",IF(AND($I11="Sim",$J11&lt;&gt;""),1,0)))</f>
        <v>X</v>
      </c>
      <c r="E11" s="55" t="str">
        <f ca="1">IF($D11&lt;&gt;1,"","C-"&amp;TEXT(SUM(INDIRECT(ADDRESS(ROW($D$10),COLUMN()-1)&amp;":"&amp;ADDRESS(ROW()-1,COLUMN()-1)))+1,"00"))</f>
        <v/>
      </c>
      <c r="F11" s="188"/>
      <c r="G11" s="189"/>
      <c r="H11" s="104"/>
      <c r="I11" s="209"/>
      <c r="J11" s="599"/>
      <c r="K11" s="599"/>
      <c r="L11" s="599"/>
      <c r="M11" s="599"/>
      <c r="N11" s="599"/>
      <c r="O11" s="599"/>
      <c r="P11" s="600"/>
      <c r="Q11" s="201"/>
      <c r="R11" s="181" t="str">
        <f>IF(AND($B11=1,$D11&lt;&gt;0),"V",IF(OR($B11=0,$D11=0),"F",""))</f>
        <v/>
      </c>
      <c r="S11" s="345" t="s">
        <v>294</v>
      </c>
    </row>
    <row r="12" spans="1:35" ht="15.95" customHeight="1">
      <c r="A12" s="46" t="s">
        <v>293</v>
      </c>
      <c r="B12" s="55" t="str">
        <f t="shared" ref="B12:B28" si="0">IF($F12&amp;$G12&amp;$H12&amp;$I12="","X",IF(OR($F12="",$G12="",$H12=0,$I12=""),0,1))</f>
        <v>X</v>
      </c>
      <c r="C12" s="55" t="str">
        <f t="shared" ref="C12:C28" ca="1" si="1">IF($B12&lt;&gt;1,"","O-"&amp;TEXT(SUM(INDIRECT(ADDRESS(ROW($B$10),COLUMN()-1)&amp;":"&amp;ADDRESS(ROW()-1,COLUMN()-1)))+1,"00"))</f>
        <v/>
      </c>
      <c r="D12" s="55" t="str">
        <f t="shared" ref="D12:D28" si="2">IF($B12&lt;&gt;1,$B12,IF($I12="Não","X",IF(AND($I12="Sim",$J12&lt;&gt;""),1,0)))</f>
        <v>X</v>
      </c>
      <c r="E12" s="55" t="str">
        <f t="shared" ref="E12:E28" ca="1" si="3">IF($D12&lt;&gt;1,"","C-"&amp;TEXT(SUM(INDIRECT(ADDRESS(ROW($D$10),COLUMN()-1)&amp;":"&amp;ADDRESS(ROW()-1,COLUMN()-1)))+1,"00"))</f>
        <v/>
      </c>
      <c r="F12" s="188"/>
      <c r="G12" s="189"/>
      <c r="H12" s="104"/>
      <c r="I12" s="209"/>
      <c r="J12" s="599"/>
      <c r="K12" s="599"/>
      <c r="L12" s="599"/>
      <c r="M12" s="599"/>
      <c r="N12" s="599"/>
      <c r="O12" s="599"/>
      <c r="P12" s="600"/>
      <c r="R12" s="181" t="str">
        <f t="shared" ref="R12:R28" si="4">IF(AND($B12=1,$D12&lt;&gt;0),"V",IF(OR($B12=0,$D12=0),"F",""))</f>
        <v/>
      </c>
      <c r="S12" s="345" t="s">
        <v>295</v>
      </c>
    </row>
    <row r="13" spans="1:35" ht="15.95" customHeight="1">
      <c r="A13" s="46" t="s">
        <v>293</v>
      </c>
      <c r="B13" s="55" t="str">
        <f t="shared" si="0"/>
        <v>X</v>
      </c>
      <c r="C13" s="55" t="str">
        <f t="shared" ca="1" si="1"/>
        <v/>
      </c>
      <c r="D13" s="55" t="str">
        <f t="shared" si="2"/>
        <v>X</v>
      </c>
      <c r="E13" s="55" t="str">
        <f t="shared" ca="1" si="3"/>
        <v/>
      </c>
      <c r="F13" s="188"/>
      <c r="G13" s="189"/>
      <c r="H13" s="104"/>
      <c r="I13" s="209"/>
      <c r="J13" s="599"/>
      <c r="K13" s="599"/>
      <c r="L13" s="599"/>
      <c r="M13" s="599"/>
      <c r="N13" s="599"/>
      <c r="O13" s="599"/>
      <c r="P13" s="600"/>
      <c r="R13" s="181" t="str">
        <f t="shared" si="4"/>
        <v/>
      </c>
      <c r="S13" s="345" t="s">
        <v>296</v>
      </c>
    </row>
    <row r="14" spans="1:35" ht="15.95" customHeight="1">
      <c r="A14" s="46" t="s">
        <v>293</v>
      </c>
      <c r="B14" s="55" t="str">
        <f t="shared" si="0"/>
        <v>X</v>
      </c>
      <c r="C14" s="55" t="str">
        <f t="shared" ca="1" si="1"/>
        <v/>
      </c>
      <c r="D14" s="55" t="str">
        <f t="shared" si="2"/>
        <v>X</v>
      </c>
      <c r="E14" s="55" t="str">
        <f t="shared" ca="1" si="3"/>
        <v/>
      </c>
      <c r="F14" s="188"/>
      <c r="G14" s="189"/>
      <c r="H14" s="104"/>
      <c r="I14" s="209"/>
      <c r="J14" s="599"/>
      <c r="K14" s="599"/>
      <c r="L14" s="599"/>
      <c r="M14" s="599"/>
      <c r="N14" s="599"/>
      <c r="O14" s="599"/>
      <c r="P14" s="600"/>
      <c r="R14" s="181" t="str">
        <f t="shared" si="4"/>
        <v/>
      </c>
      <c r="S14" s="345" t="s">
        <v>297</v>
      </c>
    </row>
    <row r="15" spans="1:35" ht="15.95" customHeight="1">
      <c r="A15" s="46" t="s">
        <v>293</v>
      </c>
      <c r="B15" s="55" t="str">
        <f t="shared" si="0"/>
        <v>X</v>
      </c>
      <c r="C15" s="55" t="str">
        <f t="shared" ca="1" si="1"/>
        <v/>
      </c>
      <c r="D15" s="55" t="str">
        <f t="shared" si="2"/>
        <v>X</v>
      </c>
      <c r="E15" s="55" t="str">
        <f t="shared" ca="1" si="3"/>
        <v/>
      </c>
      <c r="F15" s="188"/>
      <c r="G15" s="189"/>
      <c r="H15" s="104"/>
      <c r="I15" s="209"/>
      <c r="J15" s="599"/>
      <c r="K15" s="599"/>
      <c r="L15" s="599"/>
      <c r="M15" s="599"/>
      <c r="N15" s="599"/>
      <c r="O15" s="599"/>
      <c r="P15" s="600"/>
      <c r="R15" s="181" t="str">
        <f t="shared" si="4"/>
        <v/>
      </c>
      <c r="S15" s="345" t="s">
        <v>298</v>
      </c>
    </row>
    <row r="16" spans="1:35" ht="15.95" customHeight="1">
      <c r="A16" s="46" t="s">
        <v>293</v>
      </c>
      <c r="B16" s="55" t="str">
        <f t="shared" si="0"/>
        <v>X</v>
      </c>
      <c r="C16" s="55" t="str">
        <f t="shared" ca="1" si="1"/>
        <v/>
      </c>
      <c r="D16" s="55" t="str">
        <f t="shared" si="2"/>
        <v>X</v>
      </c>
      <c r="E16" s="55" t="str">
        <f t="shared" ca="1" si="3"/>
        <v/>
      </c>
      <c r="F16" s="188"/>
      <c r="G16" s="189"/>
      <c r="H16" s="104"/>
      <c r="I16" s="209"/>
      <c r="J16" s="599"/>
      <c r="K16" s="599"/>
      <c r="L16" s="599"/>
      <c r="M16" s="599"/>
      <c r="N16" s="599"/>
      <c r="O16" s="599"/>
      <c r="P16" s="600"/>
      <c r="R16" s="181" t="str">
        <f t="shared" si="4"/>
        <v/>
      </c>
      <c r="S16" s="346" t="s">
        <v>299</v>
      </c>
    </row>
    <row r="17" spans="1:35" ht="15.95" customHeight="1">
      <c r="A17" s="46" t="s">
        <v>293</v>
      </c>
      <c r="B17" s="55" t="str">
        <f t="shared" si="0"/>
        <v>X</v>
      </c>
      <c r="C17" s="55" t="str">
        <f t="shared" ca="1" si="1"/>
        <v/>
      </c>
      <c r="D17" s="55" t="str">
        <f t="shared" si="2"/>
        <v>X</v>
      </c>
      <c r="E17" s="55" t="str">
        <f t="shared" ca="1" si="3"/>
        <v/>
      </c>
      <c r="F17" s="188"/>
      <c r="G17" s="189"/>
      <c r="H17" s="104"/>
      <c r="I17" s="209"/>
      <c r="J17" s="599"/>
      <c r="K17" s="599"/>
      <c r="L17" s="599"/>
      <c r="M17" s="599"/>
      <c r="N17" s="599"/>
      <c r="O17" s="599"/>
      <c r="P17" s="600"/>
      <c r="R17" s="181" t="str">
        <f t="shared" si="4"/>
        <v/>
      </c>
      <c r="S17" s="345" t="s">
        <v>291</v>
      </c>
    </row>
    <row r="18" spans="1:35" ht="15.95" customHeight="1">
      <c r="A18" s="46" t="s">
        <v>293</v>
      </c>
      <c r="B18" s="55" t="str">
        <f t="shared" si="0"/>
        <v>X</v>
      </c>
      <c r="C18" s="55" t="str">
        <f t="shared" ca="1" si="1"/>
        <v/>
      </c>
      <c r="D18" s="55" t="str">
        <f t="shared" si="2"/>
        <v>X</v>
      </c>
      <c r="E18" s="55" t="str">
        <f t="shared" ca="1" si="3"/>
        <v/>
      </c>
      <c r="F18" s="188"/>
      <c r="G18" s="189"/>
      <c r="H18" s="104"/>
      <c r="I18" s="209"/>
      <c r="J18" s="599"/>
      <c r="K18" s="599"/>
      <c r="L18" s="599"/>
      <c r="M18" s="599"/>
      <c r="N18" s="599"/>
      <c r="O18" s="599"/>
      <c r="P18" s="600"/>
      <c r="R18" s="181" t="str">
        <f t="shared" si="4"/>
        <v/>
      </c>
      <c r="S18" s="345" t="s">
        <v>300</v>
      </c>
    </row>
    <row r="19" spans="1:35" ht="15.95" customHeight="1">
      <c r="A19" s="46" t="s">
        <v>293</v>
      </c>
      <c r="B19" s="55" t="str">
        <f t="shared" si="0"/>
        <v>X</v>
      </c>
      <c r="C19" s="55" t="str">
        <f t="shared" ca="1" si="1"/>
        <v/>
      </c>
      <c r="D19" s="55" t="str">
        <f t="shared" si="2"/>
        <v>X</v>
      </c>
      <c r="E19" s="55" t="str">
        <f t="shared" ca="1" si="3"/>
        <v/>
      </c>
      <c r="F19" s="188"/>
      <c r="G19" s="189"/>
      <c r="H19" s="104"/>
      <c r="I19" s="209"/>
      <c r="J19" s="599"/>
      <c r="K19" s="599"/>
      <c r="L19" s="599"/>
      <c r="M19" s="599"/>
      <c r="N19" s="599"/>
      <c r="O19" s="599"/>
      <c r="P19" s="600"/>
      <c r="R19" s="181" t="str">
        <f t="shared" si="4"/>
        <v/>
      </c>
    </row>
    <row r="20" spans="1:35" ht="15.95" customHeight="1">
      <c r="A20" s="46" t="s">
        <v>293</v>
      </c>
      <c r="B20" s="55" t="str">
        <f t="shared" si="0"/>
        <v>X</v>
      </c>
      <c r="C20" s="55" t="str">
        <f t="shared" ca="1" si="1"/>
        <v/>
      </c>
      <c r="D20" s="55" t="str">
        <f t="shared" si="2"/>
        <v>X</v>
      </c>
      <c r="E20" s="55" t="str">
        <f t="shared" ca="1" si="3"/>
        <v/>
      </c>
      <c r="F20" s="188"/>
      <c r="G20" s="189"/>
      <c r="H20" s="104"/>
      <c r="I20" s="209"/>
      <c r="J20" s="599"/>
      <c r="K20" s="599"/>
      <c r="L20" s="599"/>
      <c r="M20" s="599"/>
      <c r="N20" s="599"/>
      <c r="O20" s="599"/>
      <c r="P20" s="600"/>
      <c r="Q20" s="201"/>
      <c r="R20" s="181" t="str">
        <f t="shared" si="4"/>
        <v/>
      </c>
    </row>
    <row r="21" spans="1:35" ht="15.95" customHeight="1">
      <c r="A21" s="46" t="s">
        <v>293</v>
      </c>
      <c r="B21" s="55" t="str">
        <f t="shared" si="0"/>
        <v>X</v>
      </c>
      <c r="C21" s="55" t="str">
        <f t="shared" ca="1" si="1"/>
        <v/>
      </c>
      <c r="D21" s="55" t="str">
        <f t="shared" si="2"/>
        <v>X</v>
      </c>
      <c r="E21" s="55" t="str">
        <f t="shared" ca="1" si="3"/>
        <v/>
      </c>
      <c r="F21" s="188"/>
      <c r="G21" s="189"/>
      <c r="H21" s="104"/>
      <c r="I21" s="209"/>
      <c r="J21" s="599"/>
      <c r="K21" s="599"/>
      <c r="L21" s="599"/>
      <c r="M21" s="599"/>
      <c r="N21" s="599"/>
      <c r="O21" s="599"/>
      <c r="P21" s="600"/>
      <c r="R21" s="181" t="str">
        <f t="shared" si="4"/>
        <v/>
      </c>
    </row>
    <row r="22" spans="1:35" ht="15.95" customHeight="1">
      <c r="A22" s="46" t="s">
        <v>293</v>
      </c>
      <c r="B22" s="55" t="str">
        <f t="shared" si="0"/>
        <v>X</v>
      </c>
      <c r="C22" s="55" t="str">
        <f t="shared" ca="1" si="1"/>
        <v/>
      </c>
      <c r="D22" s="55" t="str">
        <f t="shared" si="2"/>
        <v>X</v>
      </c>
      <c r="E22" s="55" t="str">
        <f t="shared" ca="1" si="3"/>
        <v/>
      </c>
      <c r="F22" s="188"/>
      <c r="G22" s="189"/>
      <c r="H22" s="104"/>
      <c r="I22" s="209"/>
      <c r="J22" s="599"/>
      <c r="K22" s="599"/>
      <c r="L22" s="599"/>
      <c r="M22" s="599"/>
      <c r="N22" s="599"/>
      <c r="O22" s="599"/>
      <c r="P22" s="600"/>
      <c r="Q22" s="201"/>
      <c r="R22" s="181" t="str">
        <f t="shared" si="4"/>
        <v/>
      </c>
    </row>
    <row r="23" spans="1:35" ht="15.95" customHeight="1">
      <c r="A23" s="46" t="s">
        <v>293</v>
      </c>
      <c r="B23" s="55" t="str">
        <f t="shared" si="0"/>
        <v>X</v>
      </c>
      <c r="C23" s="55" t="str">
        <f t="shared" ca="1" si="1"/>
        <v/>
      </c>
      <c r="D23" s="55" t="str">
        <f t="shared" si="2"/>
        <v>X</v>
      </c>
      <c r="E23" s="55" t="str">
        <f t="shared" ca="1" si="3"/>
        <v/>
      </c>
      <c r="F23" s="188"/>
      <c r="G23" s="189"/>
      <c r="H23" s="104"/>
      <c r="I23" s="209"/>
      <c r="J23" s="599"/>
      <c r="K23" s="599"/>
      <c r="L23" s="599"/>
      <c r="M23" s="599"/>
      <c r="N23" s="599"/>
      <c r="O23" s="599"/>
      <c r="P23" s="600"/>
      <c r="R23" s="181" t="str">
        <f t="shared" si="4"/>
        <v/>
      </c>
    </row>
    <row r="24" spans="1:35" ht="15.95" customHeight="1">
      <c r="A24" s="46" t="s">
        <v>293</v>
      </c>
      <c r="B24" s="55" t="str">
        <f t="shared" si="0"/>
        <v>X</v>
      </c>
      <c r="C24" s="55" t="str">
        <f t="shared" ca="1" si="1"/>
        <v/>
      </c>
      <c r="D24" s="55" t="str">
        <f t="shared" si="2"/>
        <v>X</v>
      </c>
      <c r="E24" s="55" t="str">
        <f t="shared" ca="1" si="3"/>
        <v/>
      </c>
      <c r="F24" s="188"/>
      <c r="G24" s="189"/>
      <c r="H24" s="104"/>
      <c r="I24" s="209"/>
      <c r="J24" s="599"/>
      <c r="K24" s="599"/>
      <c r="L24" s="599"/>
      <c r="M24" s="599"/>
      <c r="N24" s="599"/>
      <c r="O24" s="599"/>
      <c r="P24" s="600"/>
      <c r="Q24" s="497"/>
      <c r="R24" s="181" t="str">
        <f t="shared" si="4"/>
        <v/>
      </c>
    </row>
    <row r="25" spans="1:35" ht="15.95" customHeight="1">
      <c r="A25" s="46" t="s">
        <v>293</v>
      </c>
      <c r="B25" s="55" t="str">
        <f t="shared" si="0"/>
        <v>X</v>
      </c>
      <c r="C25" s="55" t="str">
        <f t="shared" ca="1" si="1"/>
        <v/>
      </c>
      <c r="D25" s="55" t="str">
        <f t="shared" si="2"/>
        <v>X</v>
      </c>
      <c r="E25" s="55" t="str">
        <f t="shared" ca="1" si="3"/>
        <v/>
      </c>
      <c r="F25" s="188"/>
      <c r="G25" s="189"/>
      <c r="H25" s="104"/>
      <c r="I25" s="209"/>
      <c r="J25" s="599"/>
      <c r="K25" s="599"/>
      <c r="L25" s="599"/>
      <c r="M25" s="599"/>
      <c r="N25" s="599"/>
      <c r="O25" s="599"/>
      <c r="P25" s="600"/>
      <c r="R25" s="181" t="str">
        <f t="shared" si="4"/>
        <v/>
      </c>
    </row>
    <row r="26" spans="1:35" ht="15.95" customHeight="1">
      <c r="A26" s="46" t="s">
        <v>293</v>
      </c>
      <c r="B26" s="55" t="str">
        <f t="shared" si="0"/>
        <v>X</v>
      </c>
      <c r="C26" s="55" t="str">
        <f t="shared" ca="1" si="1"/>
        <v/>
      </c>
      <c r="D26" s="55" t="str">
        <f t="shared" si="2"/>
        <v>X</v>
      </c>
      <c r="E26" s="55" t="str">
        <f t="shared" ca="1" si="3"/>
        <v/>
      </c>
      <c r="F26" s="188"/>
      <c r="G26" s="189"/>
      <c r="H26" s="104"/>
      <c r="I26" s="209"/>
      <c r="J26" s="599"/>
      <c r="K26" s="599"/>
      <c r="L26" s="599"/>
      <c r="M26" s="599"/>
      <c r="N26" s="599"/>
      <c r="O26" s="599"/>
      <c r="P26" s="600"/>
      <c r="R26" s="181" t="str">
        <f t="shared" si="4"/>
        <v/>
      </c>
    </row>
    <row r="27" spans="1:35" ht="15.95" customHeight="1">
      <c r="A27" s="46" t="s">
        <v>293</v>
      </c>
      <c r="B27" s="55" t="str">
        <f t="shared" si="0"/>
        <v>X</v>
      </c>
      <c r="C27" s="55" t="str">
        <f t="shared" ca="1" si="1"/>
        <v/>
      </c>
      <c r="D27" s="55" t="str">
        <f t="shared" si="2"/>
        <v>X</v>
      </c>
      <c r="E27" s="55" t="str">
        <f t="shared" ca="1" si="3"/>
        <v/>
      </c>
      <c r="F27" s="188"/>
      <c r="G27" s="189"/>
      <c r="H27" s="104"/>
      <c r="I27" s="209"/>
      <c r="J27" s="599"/>
      <c r="K27" s="599"/>
      <c r="L27" s="599"/>
      <c r="M27" s="599"/>
      <c r="N27" s="599"/>
      <c r="O27" s="599"/>
      <c r="P27" s="600"/>
      <c r="R27" s="181" t="str">
        <f t="shared" si="4"/>
        <v/>
      </c>
    </row>
    <row r="28" spans="1:35" ht="15.95" customHeight="1">
      <c r="A28" s="46" t="s">
        <v>293</v>
      </c>
      <c r="B28" s="55" t="str">
        <f t="shared" si="0"/>
        <v>X</v>
      </c>
      <c r="C28" s="55" t="str">
        <f t="shared" ca="1" si="1"/>
        <v/>
      </c>
      <c r="D28" s="55" t="str">
        <f t="shared" si="2"/>
        <v>X</v>
      </c>
      <c r="E28" s="55" t="str">
        <f t="shared" ca="1" si="3"/>
        <v/>
      </c>
      <c r="F28" s="188"/>
      <c r="G28" s="189"/>
      <c r="H28" s="104"/>
      <c r="I28" s="209"/>
      <c r="J28" s="599"/>
      <c r="K28" s="599"/>
      <c r="L28" s="599"/>
      <c r="M28" s="599"/>
      <c r="N28" s="599"/>
      <c r="O28" s="599"/>
      <c r="P28" s="600"/>
      <c r="R28" s="181" t="str">
        <f t="shared" si="4"/>
        <v/>
      </c>
    </row>
    <row r="29" spans="1:35" customFormat="1" ht="8.1" customHeight="1">
      <c r="A29" s="46"/>
      <c r="B29" s="55"/>
      <c r="C29" s="46"/>
      <c r="D29" s="46"/>
      <c r="E29" s="46"/>
      <c r="F29" s="46"/>
      <c r="G29" s="46"/>
      <c r="H29" s="55"/>
      <c r="I29" s="55"/>
      <c r="K29" s="96"/>
      <c r="Q29" s="197"/>
      <c r="R29" s="181"/>
      <c r="S29" s="56"/>
      <c r="AA29" s="60"/>
      <c r="AB29" s="60"/>
      <c r="AC29" s="60"/>
      <c r="AD29" s="60"/>
      <c r="AI29" s="46"/>
    </row>
    <row r="30" spans="1:35" s="22" customFormat="1" ht="24" customHeight="1">
      <c r="A30" s="55"/>
      <c r="B30" s="54"/>
      <c r="C30" s="55"/>
      <c r="D30" s="55"/>
      <c r="E30" s="55"/>
      <c r="F30" s="28"/>
      <c r="G30" s="24" t="s">
        <v>301</v>
      </c>
      <c r="H30" s="417">
        <f>SUMIFS($H11:$H28,$R11:$R28,"V")</f>
        <v>0</v>
      </c>
      <c r="I30" s="417">
        <f>SUMIFS($H11:$H28,$I11:$I28,"Sim",$R11:$R28,"V")</f>
        <v>0</v>
      </c>
      <c r="J30" s="234" t="s">
        <v>302</v>
      </c>
      <c r="Q30" s="197"/>
      <c r="R30" s="181"/>
      <c r="S30" s="347"/>
      <c r="T30" s="51"/>
      <c r="U30" s="51"/>
      <c r="V30" s="51"/>
      <c r="W30" s="51"/>
      <c r="X30" s="51"/>
    </row>
    <row r="31" spans="1:35" customFormat="1" ht="15.95" customHeight="1">
      <c r="A31" s="46"/>
      <c r="B31" s="46"/>
      <c r="C31" s="46"/>
      <c r="D31" s="46"/>
      <c r="E31" s="46"/>
      <c r="F31" s="46"/>
      <c r="G31" s="46"/>
      <c r="H31" s="55"/>
      <c r="I31" s="55"/>
      <c r="K31" s="96"/>
      <c r="Q31" s="201"/>
      <c r="R31" s="181"/>
      <c r="S31" s="338"/>
      <c r="AA31" s="60"/>
      <c r="AB31" s="60"/>
      <c r="AC31" s="60"/>
      <c r="AD31" s="60"/>
      <c r="AI31" s="46"/>
    </row>
    <row r="32" spans="1:35" ht="24" customHeight="1">
      <c r="C32" s="55"/>
      <c r="D32" s="55"/>
      <c r="E32" s="55"/>
      <c r="F32" s="556" t="s">
        <v>303</v>
      </c>
      <c r="G32" s="556"/>
      <c r="H32" s="556"/>
      <c r="I32" s="556"/>
      <c r="J32" s="556"/>
      <c r="K32" s="556"/>
      <c r="L32" s="556"/>
      <c r="M32" s="556"/>
      <c r="N32" s="556"/>
      <c r="O32" s="556"/>
      <c r="P32" s="556"/>
      <c r="R32" s="181"/>
      <c r="S32" s="348" t="s">
        <v>304</v>
      </c>
    </row>
    <row r="33" spans="1:35" s="91" customFormat="1" ht="8.1" customHeight="1">
      <c r="A33" s="46"/>
      <c r="B33" s="46"/>
      <c r="C33" s="46"/>
      <c r="D33" s="46"/>
      <c r="E33" s="46"/>
      <c r="F33" s="46"/>
      <c r="G33" s="46"/>
      <c r="H33" s="55"/>
      <c r="I33" s="55"/>
      <c r="J33" s="176"/>
      <c r="K33" s="176"/>
      <c r="L33" s="176"/>
      <c r="M33" s="176"/>
      <c r="N33" s="176"/>
      <c r="O33" s="176"/>
      <c r="P33" s="176"/>
      <c r="Q33" s="201"/>
      <c r="R33" s="181"/>
      <c r="S33" s="557"/>
      <c r="T33" s="557"/>
      <c r="U33" s="557"/>
      <c r="V33" s="557"/>
      <c r="W33" s="177"/>
      <c r="X33" s="180"/>
      <c r="Y33" s="176"/>
      <c r="Z33" s="176"/>
      <c r="AA33" s="178"/>
      <c r="AB33" s="178"/>
      <c r="AC33" s="178"/>
      <c r="AD33" s="179"/>
      <c r="AI33" s="46"/>
    </row>
    <row r="34" spans="1:35" ht="15.95" customHeight="1">
      <c r="A34" s="46" t="s">
        <v>305</v>
      </c>
      <c r="B34" s="55" t="str">
        <f t="shared" ref="B34:B43" si="5">IF($F34&amp;$G34&amp;$H34&amp;$I34="","X",IF(OR($F34="",$G34="",$H34=0,$I34=""),0,1))</f>
        <v>X</v>
      </c>
      <c r="C34" s="55" t="str">
        <f t="shared" ref="C34:C43" ca="1" si="6">IF($B34&lt;&gt;1,"","I-"&amp;TEXT(SUM(INDIRECT(ADDRESS(ROW($B$33),COLUMN()-1)&amp;":"&amp;ADDRESS(ROW()-1,COLUMN()-1)))+1,"00"))</f>
        <v/>
      </c>
      <c r="D34" s="55" t="str">
        <f t="shared" ref="D34:D43" si="7">IF($B34&lt;&gt;1,$B34,IF($I34="Não","X",IF(AND($I34="Sim",$J34&lt;&gt;""),1,0)))</f>
        <v>X</v>
      </c>
      <c r="E34" s="55" t="str">
        <f t="shared" ref="E34:E43" ca="1" si="8">IF($D34&lt;&gt;1,"","C-"&amp;TEXT(SUM(INDIRECT(ADDRESS(ROW($D$10),COLUMN()-1)&amp;":"&amp;ADDRESS(ROW()-1,COLUMN()-1)))+1,"00"))</f>
        <v/>
      </c>
      <c r="F34" s="188"/>
      <c r="G34" s="189"/>
      <c r="H34" s="104"/>
      <c r="I34" s="209"/>
      <c r="J34" s="599"/>
      <c r="K34" s="599"/>
      <c r="L34" s="599"/>
      <c r="M34" s="599"/>
      <c r="N34" s="599"/>
      <c r="O34" s="599"/>
      <c r="P34" s="600"/>
      <c r="R34" s="181" t="str">
        <f t="shared" ref="R34:R43" si="9">IF(AND($B34=1,$D34&lt;&gt;0),"V",IF(OR($B34=0,$D34=0),"F",""))</f>
        <v/>
      </c>
      <c r="S34" s="345" t="s">
        <v>306</v>
      </c>
    </row>
    <row r="35" spans="1:35" ht="15.95" customHeight="1">
      <c r="A35" s="46" t="s">
        <v>305</v>
      </c>
      <c r="B35" s="55" t="str">
        <f t="shared" si="5"/>
        <v>X</v>
      </c>
      <c r="C35" s="55" t="str">
        <f t="shared" ca="1" si="6"/>
        <v/>
      </c>
      <c r="D35" s="55" t="str">
        <f t="shared" si="7"/>
        <v>X</v>
      </c>
      <c r="E35" s="55" t="str">
        <f t="shared" ca="1" si="8"/>
        <v/>
      </c>
      <c r="F35" s="188"/>
      <c r="G35" s="189"/>
      <c r="H35" s="104"/>
      <c r="I35" s="209"/>
      <c r="J35" s="599"/>
      <c r="K35" s="599"/>
      <c r="L35" s="599"/>
      <c r="M35" s="599"/>
      <c r="N35" s="599"/>
      <c r="O35" s="599"/>
      <c r="P35" s="600"/>
      <c r="Q35" s="497"/>
      <c r="R35" s="181" t="str">
        <f t="shared" si="9"/>
        <v/>
      </c>
      <c r="S35" s="345" t="s">
        <v>307</v>
      </c>
    </row>
    <row r="36" spans="1:35" ht="15.95" customHeight="1">
      <c r="A36" s="46" t="s">
        <v>305</v>
      </c>
      <c r="B36" s="55" t="str">
        <f t="shared" si="5"/>
        <v>X</v>
      </c>
      <c r="C36" s="55" t="str">
        <f t="shared" ca="1" si="6"/>
        <v/>
      </c>
      <c r="D36" s="55" t="str">
        <f t="shared" si="7"/>
        <v>X</v>
      </c>
      <c r="E36" s="55" t="str">
        <f t="shared" ca="1" si="8"/>
        <v/>
      </c>
      <c r="F36" s="188"/>
      <c r="G36" s="189"/>
      <c r="H36" s="104"/>
      <c r="I36" s="209"/>
      <c r="J36" s="599"/>
      <c r="K36" s="599"/>
      <c r="L36" s="599"/>
      <c r="M36" s="599"/>
      <c r="N36" s="599"/>
      <c r="O36" s="599"/>
      <c r="P36" s="600"/>
      <c r="R36" s="181" t="str">
        <f t="shared" si="9"/>
        <v/>
      </c>
      <c r="S36" s="345" t="s">
        <v>308</v>
      </c>
    </row>
    <row r="37" spans="1:35" ht="15.95" customHeight="1">
      <c r="A37" s="46" t="s">
        <v>305</v>
      </c>
      <c r="B37" s="55" t="str">
        <f t="shared" si="5"/>
        <v>X</v>
      </c>
      <c r="C37" s="55" t="str">
        <f t="shared" ca="1" si="6"/>
        <v/>
      </c>
      <c r="D37" s="55" t="str">
        <f t="shared" si="7"/>
        <v>X</v>
      </c>
      <c r="E37" s="55" t="str">
        <f t="shared" ca="1" si="8"/>
        <v/>
      </c>
      <c r="F37" s="188"/>
      <c r="G37" s="189"/>
      <c r="H37" s="104"/>
      <c r="I37" s="209"/>
      <c r="J37" s="599"/>
      <c r="K37" s="599"/>
      <c r="L37" s="599"/>
      <c r="M37" s="599"/>
      <c r="N37" s="599"/>
      <c r="O37" s="599"/>
      <c r="P37" s="600"/>
      <c r="R37" s="181" t="str">
        <f t="shared" si="9"/>
        <v/>
      </c>
      <c r="S37" s="345" t="s">
        <v>309</v>
      </c>
    </row>
    <row r="38" spans="1:35" ht="15.95" customHeight="1">
      <c r="A38" s="46" t="s">
        <v>305</v>
      </c>
      <c r="B38" s="55" t="str">
        <f t="shared" si="5"/>
        <v>X</v>
      </c>
      <c r="C38" s="55" t="str">
        <f t="shared" ca="1" si="6"/>
        <v/>
      </c>
      <c r="D38" s="55" t="str">
        <f t="shared" si="7"/>
        <v>X</v>
      </c>
      <c r="E38" s="55" t="str">
        <f t="shared" ca="1" si="8"/>
        <v/>
      </c>
      <c r="F38" s="188"/>
      <c r="G38" s="189"/>
      <c r="H38" s="104"/>
      <c r="I38" s="209"/>
      <c r="J38" s="599"/>
      <c r="K38" s="599"/>
      <c r="L38" s="599"/>
      <c r="M38" s="599"/>
      <c r="N38" s="599"/>
      <c r="O38" s="599"/>
      <c r="P38" s="600"/>
      <c r="R38" s="181" t="str">
        <f t="shared" si="9"/>
        <v/>
      </c>
      <c r="S38" s="345" t="s">
        <v>310</v>
      </c>
    </row>
    <row r="39" spans="1:35" ht="15.95" customHeight="1">
      <c r="A39" s="46" t="s">
        <v>305</v>
      </c>
      <c r="B39" s="55" t="str">
        <f t="shared" si="5"/>
        <v>X</v>
      </c>
      <c r="C39" s="55" t="str">
        <f t="shared" ca="1" si="6"/>
        <v/>
      </c>
      <c r="D39" s="55" t="str">
        <f t="shared" si="7"/>
        <v>X</v>
      </c>
      <c r="E39" s="55" t="str">
        <f t="shared" ca="1" si="8"/>
        <v/>
      </c>
      <c r="F39" s="188"/>
      <c r="G39" s="189"/>
      <c r="H39" s="104"/>
      <c r="I39" s="209"/>
      <c r="J39" s="599"/>
      <c r="K39" s="599"/>
      <c r="L39" s="599"/>
      <c r="M39" s="599"/>
      <c r="N39" s="599"/>
      <c r="O39" s="599"/>
      <c r="P39" s="600"/>
      <c r="R39" s="181" t="str">
        <f t="shared" si="9"/>
        <v/>
      </c>
    </row>
    <row r="40" spans="1:35" ht="15.95" customHeight="1">
      <c r="A40" s="46" t="s">
        <v>305</v>
      </c>
      <c r="B40" s="55" t="str">
        <f t="shared" si="5"/>
        <v>X</v>
      </c>
      <c r="C40" s="55" t="str">
        <f t="shared" ca="1" si="6"/>
        <v/>
      </c>
      <c r="D40" s="55" t="str">
        <f t="shared" si="7"/>
        <v>X</v>
      </c>
      <c r="E40" s="55" t="str">
        <f t="shared" ca="1" si="8"/>
        <v/>
      </c>
      <c r="F40" s="188"/>
      <c r="G40" s="189"/>
      <c r="H40" s="104"/>
      <c r="I40" s="209"/>
      <c r="J40" s="599"/>
      <c r="K40" s="599"/>
      <c r="L40" s="599"/>
      <c r="M40" s="599"/>
      <c r="N40" s="599"/>
      <c r="O40" s="599"/>
      <c r="P40" s="600"/>
      <c r="R40" s="181" t="str">
        <f t="shared" si="9"/>
        <v/>
      </c>
    </row>
    <row r="41" spans="1:35" ht="15.95" customHeight="1">
      <c r="A41" s="46" t="s">
        <v>305</v>
      </c>
      <c r="B41" s="55" t="str">
        <f t="shared" si="5"/>
        <v>X</v>
      </c>
      <c r="C41" s="55" t="str">
        <f t="shared" ca="1" si="6"/>
        <v/>
      </c>
      <c r="D41" s="55" t="str">
        <f t="shared" si="7"/>
        <v>X</v>
      </c>
      <c r="E41" s="55" t="str">
        <f t="shared" ca="1" si="8"/>
        <v/>
      </c>
      <c r="F41" s="188"/>
      <c r="G41" s="189"/>
      <c r="H41" s="104"/>
      <c r="I41" s="209"/>
      <c r="J41" s="599"/>
      <c r="K41" s="599"/>
      <c r="L41" s="599"/>
      <c r="M41" s="599"/>
      <c r="N41" s="599"/>
      <c r="O41" s="599"/>
      <c r="P41" s="600"/>
      <c r="R41" s="181" t="str">
        <f t="shared" si="9"/>
        <v/>
      </c>
    </row>
    <row r="42" spans="1:35" ht="15.95" customHeight="1">
      <c r="A42" s="46" t="s">
        <v>305</v>
      </c>
      <c r="B42" s="55" t="str">
        <f t="shared" si="5"/>
        <v>X</v>
      </c>
      <c r="C42" s="55" t="str">
        <f t="shared" ca="1" si="6"/>
        <v/>
      </c>
      <c r="D42" s="55" t="str">
        <f t="shared" si="7"/>
        <v>X</v>
      </c>
      <c r="E42" s="55" t="str">
        <f t="shared" ca="1" si="8"/>
        <v/>
      </c>
      <c r="F42" s="188"/>
      <c r="G42" s="189"/>
      <c r="H42" s="104"/>
      <c r="I42" s="209"/>
      <c r="J42" s="599"/>
      <c r="K42" s="599"/>
      <c r="L42" s="599"/>
      <c r="M42" s="599"/>
      <c r="N42" s="599"/>
      <c r="O42" s="599"/>
      <c r="P42" s="600"/>
      <c r="Q42" s="201"/>
      <c r="R42" s="181" t="str">
        <f t="shared" si="9"/>
        <v/>
      </c>
    </row>
    <row r="43" spans="1:35" ht="15.95" customHeight="1">
      <c r="A43" s="46" t="s">
        <v>305</v>
      </c>
      <c r="B43" s="55" t="str">
        <f t="shared" si="5"/>
        <v>X</v>
      </c>
      <c r="C43" s="55" t="str">
        <f t="shared" ca="1" si="6"/>
        <v/>
      </c>
      <c r="D43" s="55" t="str">
        <f t="shared" si="7"/>
        <v>X</v>
      </c>
      <c r="E43" s="55" t="str">
        <f t="shared" ca="1" si="8"/>
        <v/>
      </c>
      <c r="F43" s="188"/>
      <c r="G43" s="189"/>
      <c r="H43" s="104"/>
      <c r="I43" s="209"/>
      <c r="J43" s="599"/>
      <c r="K43" s="599"/>
      <c r="L43" s="599"/>
      <c r="M43" s="599"/>
      <c r="N43" s="599"/>
      <c r="O43" s="599"/>
      <c r="P43" s="600"/>
      <c r="R43" s="181" t="str">
        <f t="shared" si="9"/>
        <v/>
      </c>
    </row>
    <row r="44" spans="1:35" customFormat="1" ht="8.1" customHeight="1">
      <c r="A44" s="46" t="s">
        <v>189</v>
      </c>
      <c r="B44" s="46"/>
      <c r="C44" s="46"/>
      <c r="D44" s="55"/>
      <c r="E44" s="46"/>
      <c r="F44" s="46"/>
      <c r="G44" s="46"/>
      <c r="H44" s="55"/>
      <c r="I44" s="55"/>
      <c r="K44" s="96"/>
      <c r="Q44" s="498"/>
      <c r="R44" s="6"/>
      <c r="S44" s="338"/>
      <c r="AA44" s="60"/>
      <c r="AB44" s="60"/>
      <c r="AC44" s="60"/>
      <c r="AD44" s="60"/>
      <c r="AI44" s="46"/>
    </row>
    <row r="45" spans="1:35" s="22" customFormat="1" ht="24" customHeight="1">
      <c r="A45" s="282"/>
      <c r="B45" s="54"/>
      <c r="C45" s="54"/>
      <c r="D45" s="54"/>
      <c r="E45" s="54"/>
      <c r="F45" s="28"/>
      <c r="G45" s="24" t="s">
        <v>311</v>
      </c>
      <c r="H45" s="417">
        <f>SUMIFS($H34:$H43,$R34:$R43,"V")</f>
        <v>0</v>
      </c>
      <c r="I45" s="417">
        <f>SUMIFS($H34:$H43,$I34:$I43,"Sim",$R34:$R43,"V")</f>
        <v>0</v>
      </c>
      <c r="J45" s="234" t="s">
        <v>312</v>
      </c>
      <c r="Q45" s="197"/>
      <c r="R45" s="181"/>
      <c r="S45" s="347"/>
      <c r="T45" s="51"/>
      <c r="U45" s="51"/>
      <c r="V45" s="51"/>
      <c r="W45" s="51"/>
      <c r="X45" s="51"/>
    </row>
    <row r="46" spans="1:35" ht="15.95" customHeight="1">
      <c r="H46" s="27"/>
      <c r="I46" s="27"/>
      <c r="M46"/>
      <c r="R46" s="181"/>
    </row>
    <row r="47" spans="1:35" ht="15.95" customHeight="1">
      <c r="F47" s="485"/>
      <c r="G47" s="47" t="s">
        <v>191</v>
      </c>
      <c r="H47" s="23"/>
      <c r="I47" s="26"/>
      <c r="R47" s="181"/>
    </row>
    <row r="48" spans="1:35" s="78" customFormat="1" ht="15.95" customHeight="1">
      <c r="A48" s="78" t="s">
        <v>106</v>
      </c>
      <c r="B48" s="78" t="s">
        <v>190</v>
      </c>
      <c r="C48" s="78" t="s">
        <v>190</v>
      </c>
      <c r="D48" s="78" t="s">
        <v>190</v>
      </c>
      <c r="E48" s="78" t="s">
        <v>190</v>
      </c>
      <c r="F48" s="78" t="s">
        <v>12</v>
      </c>
      <c r="G48" s="78" t="s">
        <v>12</v>
      </c>
      <c r="H48" s="78" t="s">
        <v>12</v>
      </c>
      <c r="I48" s="78" t="s">
        <v>12</v>
      </c>
      <c r="J48" s="78" t="s">
        <v>313</v>
      </c>
    </row>
    <row r="49" spans="1:24" ht="15.95" customHeight="1">
      <c r="H49" s="26"/>
      <c r="I49" s="26"/>
      <c r="R49" s="181"/>
    </row>
    <row r="50" spans="1:24" ht="15.95" customHeight="1">
      <c r="H50" s="26"/>
      <c r="I50" s="26"/>
      <c r="R50" s="181"/>
    </row>
    <row r="51" spans="1:24" ht="15.95" customHeight="1">
      <c r="H51" s="27"/>
      <c r="I51" s="27"/>
      <c r="M51"/>
      <c r="R51" s="181"/>
    </row>
    <row r="52" spans="1:24" ht="15.95" customHeight="1">
      <c r="H52" s="27"/>
      <c r="I52" s="27"/>
      <c r="M52"/>
      <c r="R52" s="181"/>
    </row>
    <row r="53" spans="1:24" ht="15.95" customHeight="1">
      <c r="H53" s="27"/>
      <c r="I53" s="27"/>
      <c r="M53"/>
      <c r="Q53" s="201"/>
      <c r="R53" s="181"/>
    </row>
    <row r="54" spans="1:24" ht="15.95" customHeight="1">
      <c r="H54" s="27"/>
      <c r="I54" s="27"/>
      <c r="M54"/>
      <c r="R54" s="181"/>
    </row>
    <row r="55" spans="1:24" ht="15.95" customHeight="1">
      <c r="H55" s="27"/>
      <c r="I55" s="27"/>
      <c r="M55"/>
      <c r="R55" s="181"/>
    </row>
    <row r="56" spans="1:24" ht="15.95" customHeight="1">
      <c r="H56" s="27"/>
      <c r="I56" s="27"/>
      <c r="M56"/>
      <c r="R56" s="181"/>
    </row>
    <row r="57" spans="1:24" ht="15.95" customHeight="1">
      <c r="H57" s="27"/>
      <c r="I57" s="27"/>
      <c r="M57"/>
      <c r="R57" s="181"/>
    </row>
    <row r="58" spans="1:24" ht="15.95" customHeight="1">
      <c r="A58" s="4"/>
      <c r="B58" s="3"/>
      <c r="C58" s="3"/>
      <c r="D58" s="3"/>
      <c r="E58" s="3"/>
      <c r="F58" s="3"/>
      <c r="Q58" s="499"/>
      <c r="R58" s="181"/>
      <c r="S58" s="4"/>
      <c r="T58" s="3"/>
      <c r="U58" s="3"/>
      <c r="V58" s="3"/>
      <c r="W58" s="3"/>
      <c r="X58" s="3"/>
    </row>
    <row r="59" spans="1:24" ht="15.95" customHeight="1">
      <c r="A59" s="4"/>
      <c r="B59" s="3"/>
      <c r="C59" s="3"/>
      <c r="D59" s="3"/>
      <c r="E59" s="3"/>
      <c r="F59" s="3"/>
      <c r="R59" s="181"/>
      <c r="S59" s="4"/>
      <c r="T59" s="3"/>
      <c r="U59" s="3"/>
      <c r="V59" s="3"/>
      <c r="W59" s="3"/>
      <c r="X59" s="3"/>
    </row>
    <row r="60" spans="1:24" ht="15.95" customHeight="1">
      <c r="A60" s="4"/>
      <c r="B60" s="3"/>
      <c r="C60" s="3"/>
      <c r="D60" s="3"/>
      <c r="E60" s="3"/>
      <c r="F60" s="3"/>
      <c r="R60" s="181"/>
      <c r="S60" s="4"/>
      <c r="T60" s="3"/>
      <c r="U60" s="3"/>
      <c r="V60" s="3"/>
      <c r="W60" s="3"/>
      <c r="X60" s="3"/>
    </row>
    <row r="61" spans="1:24" ht="15.95" customHeight="1">
      <c r="A61" s="4"/>
      <c r="B61" s="3"/>
      <c r="C61" s="3"/>
      <c r="D61" s="3"/>
      <c r="E61" s="3"/>
      <c r="F61" s="3"/>
      <c r="R61" s="181"/>
      <c r="S61" s="4"/>
      <c r="T61" s="3"/>
      <c r="U61" s="3"/>
      <c r="V61" s="3"/>
      <c r="W61" s="3"/>
      <c r="X61" s="3"/>
    </row>
    <row r="62" spans="1:24" ht="15.95" customHeight="1">
      <c r="A62" s="4"/>
      <c r="B62" s="3"/>
      <c r="C62" s="3"/>
      <c r="D62" s="3"/>
      <c r="E62" s="3"/>
      <c r="F62" s="3"/>
      <c r="R62" s="181"/>
      <c r="S62" s="4"/>
      <c r="T62" s="3"/>
      <c r="U62" s="3"/>
      <c r="V62" s="3"/>
      <c r="W62" s="3"/>
      <c r="X62" s="3"/>
    </row>
    <row r="63" spans="1:24" ht="15.95" customHeight="1">
      <c r="A63" s="4"/>
      <c r="B63" s="3"/>
      <c r="C63" s="3"/>
      <c r="D63" s="3"/>
      <c r="E63" s="3"/>
      <c r="F63" s="3"/>
      <c r="R63" s="181"/>
      <c r="S63" s="4"/>
      <c r="T63" s="3"/>
      <c r="U63" s="3"/>
      <c r="V63" s="3"/>
      <c r="W63" s="3"/>
      <c r="X63" s="3"/>
    </row>
    <row r="64" spans="1:24" ht="15.95" customHeight="1">
      <c r="A64" s="4"/>
      <c r="B64" s="3"/>
      <c r="C64" s="3"/>
      <c r="D64" s="3"/>
      <c r="E64" s="3"/>
      <c r="F64" s="3"/>
      <c r="R64" s="181"/>
      <c r="S64" s="4"/>
      <c r="T64" s="3"/>
      <c r="U64" s="3"/>
      <c r="V64" s="3"/>
      <c r="W64" s="3"/>
      <c r="X64" s="3"/>
    </row>
    <row r="65" spans="1:24" ht="15.95" customHeight="1">
      <c r="A65" s="4"/>
      <c r="B65" s="3"/>
      <c r="C65" s="3"/>
      <c r="D65" s="3"/>
      <c r="E65" s="3"/>
      <c r="F65" s="3"/>
      <c r="R65" s="181"/>
      <c r="S65" s="4"/>
      <c r="T65" s="3"/>
      <c r="U65" s="3"/>
      <c r="V65" s="3"/>
      <c r="W65" s="3"/>
      <c r="X65" s="3"/>
    </row>
    <row r="66" spans="1:24" ht="15.95" customHeight="1">
      <c r="A66" s="4"/>
      <c r="B66" s="3"/>
      <c r="C66" s="3"/>
      <c r="D66" s="3"/>
      <c r="E66" s="3"/>
      <c r="F66" s="3"/>
      <c r="R66" s="181"/>
      <c r="S66" s="4"/>
      <c r="T66" s="3"/>
      <c r="U66" s="3"/>
      <c r="V66" s="3"/>
      <c r="W66" s="3"/>
      <c r="X66" s="3"/>
    </row>
    <row r="67" spans="1:24" ht="15.95" customHeight="1">
      <c r="A67" s="4"/>
      <c r="B67" s="3"/>
      <c r="C67" s="3"/>
      <c r="D67" s="3"/>
      <c r="E67" s="3"/>
      <c r="F67" s="3"/>
      <c r="R67" s="181"/>
      <c r="S67" s="4"/>
      <c r="T67" s="3"/>
      <c r="U67" s="3"/>
      <c r="V67" s="3"/>
      <c r="W67" s="3"/>
      <c r="X67" s="3"/>
    </row>
    <row r="68" spans="1:24" ht="15.95" customHeight="1">
      <c r="A68" s="4"/>
      <c r="B68" s="3"/>
      <c r="C68" s="3"/>
      <c r="D68" s="3"/>
      <c r="E68" s="3"/>
      <c r="F68" s="3"/>
      <c r="Q68" s="201"/>
      <c r="R68" s="181"/>
      <c r="S68" s="4"/>
      <c r="T68" s="3"/>
      <c r="U68" s="3"/>
      <c r="V68" s="3"/>
      <c r="W68" s="3"/>
      <c r="X68" s="3"/>
    </row>
    <row r="69" spans="1:24" ht="15.95" customHeight="1">
      <c r="A69" s="4"/>
      <c r="B69" s="3"/>
      <c r="C69" s="3"/>
      <c r="D69" s="3"/>
      <c r="E69" s="3"/>
      <c r="F69" s="3"/>
      <c r="Q69" s="201"/>
      <c r="R69" s="181"/>
      <c r="S69" s="4"/>
      <c r="T69" s="3"/>
      <c r="U69" s="3"/>
      <c r="V69" s="3"/>
      <c r="W69" s="3"/>
      <c r="X69" s="3"/>
    </row>
    <row r="70" spans="1:24" ht="15.95" customHeight="1">
      <c r="A70" s="4"/>
      <c r="B70" s="3"/>
      <c r="C70" s="3"/>
      <c r="D70" s="3"/>
      <c r="E70" s="3"/>
      <c r="F70" s="3"/>
      <c r="Q70" s="201"/>
      <c r="R70" s="181"/>
      <c r="S70" s="4"/>
      <c r="T70" s="3"/>
      <c r="U70" s="3"/>
      <c r="V70" s="3"/>
      <c r="W70" s="3"/>
      <c r="X70" s="3"/>
    </row>
    <row r="71" spans="1:24" ht="15.95" customHeight="1">
      <c r="A71" s="4"/>
      <c r="B71" s="3"/>
      <c r="C71" s="3"/>
      <c r="D71" s="3"/>
      <c r="E71" s="3"/>
      <c r="F71" s="3"/>
      <c r="Q71" s="201"/>
      <c r="R71" s="181"/>
      <c r="S71" s="4"/>
      <c r="T71" s="3"/>
      <c r="U71" s="3"/>
      <c r="V71" s="3"/>
      <c r="W71" s="3"/>
      <c r="X71" s="3"/>
    </row>
    <row r="72" spans="1:24" ht="15.95" customHeight="1">
      <c r="A72" s="4"/>
      <c r="B72" s="3"/>
      <c r="C72" s="3"/>
      <c r="D72" s="3"/>
      <c r="E72" s="3"/>
      <c r="F72" s="3"/>
      <c r="Q72" s="201"/>
      <c r="R72" s="181"/>
      <c r="S72" s="4"/>
      <c r="T72" s="3"/>
      <c r="U72" s="3"/>
      <c r="V72" s="3"/>
      <c r="W72" s="3"/>
      <c r="X72" s="3"/>
    </row>
    <row r="73" spans="1:24" ht="15.95" customHeight="1">
      <c r="A73" s="4"/>
      <c r="B73" s="3"/>
      <c r="C73" s="3"/>
      <c r="D73" s="3"/>
      <c r="E73" s="3"/>
      <c r="F73" s="3"/>
      <c r="Q73" s="201"/>
      <c r="R73" s="181"/>
      <c r="S73" s="4"/>
      <c r="T73" s="3"/>
      <c r="U73" s="3"/>
      <c r="V73" s="3"/>
      <c r="W73" s="3"/>
      <c r="X73" s="3"/>
    </row>
    <row r="74" spans="1:24" ht="15.95" customHeight="1">
      <c r="A74" s="4"/>
      <c r="B74" s="3"/>
      <c r="C74" s="3"/>
      <c r="D74" s="3"/>
      <c r="E74" s="3"/>
      <c r="F74" s="3"/>
      <c r="Q74" s="201"/>
      <c r="R74" s="181"/>
      <c r="S74" s="4"/>
      <c r="T74" s="3"/>
      <c r="U74" s="3"/>
      <c r="V74" s="3"/>
      <c r="W74" s="3"/>
      <c r="X74" s="3"/>
    </row>
    <row r="75" spans="1:24" ht="15.95" customHeight="1">
      <c r="A75" s="4"/>
      <c r="B75" s="3"/>
      <c r="C75" s="3"/>
      <c r="D75" s="3"/>
      <c r="E75" s="3"/>
      <c r="F75" s="3"/>
      <c r="Q75" s="201"/>
      <c r="R75" s="181"/>
      <c r="S75" s="4"/>
      <c r="T75" s="3"/>
      <c r="U75" s="3"/>
      <c r="V75" s="3"/>
      <c r="W75" s="3"/>
      <c r="X75" s="3"/>
    </row>
    <row r="76" spans="1:24" ht="15.95" customHeight="1">
      <c r="A76" s="4"/>
      <c r="B76" s="3"/>
      <c r="C76" s="3"/>
      <c r="D76" s="3"/>
      <c r="E76" s="3"/>
      <c r="F76" s="3"/>
      <c r="Q76" s="201"/>
      <c r="R76" s="181"/>
      <c r="S76" s="4"/>
      <c r="T76" s="3"/>
      <c r="U76" s="3"/>
      <c r="V76" s="3"/>
      <c r="W76" s="3"/>
      <c r="X76" s="3"/>
    </row>
    <row r="77" spans="1:24" ht="15.95" customHeight="1">
      <c r="A77" s="4"/>
      <c r="B77" s="3"/>
      <c r="C77" s="3"/>
      <c r="D77" s="3"/>
      <c r="E77" s="3"/>
      <c r="F77" s="3"/>
      <c r="Q77" s="201"/>
      <c r="R77" s="181"/>
      <c r="S77" s="4"/>
      <c r="T77" s="3"/>
      <c r="U77" s="3"/>
      <c r="V77" s="3"/>
      <c r="W77" s="3"/>
      <c r="X77" s="3"/>
    </row>
    <row r="78" spans="1:24" ht="15.95" customHeight="1">
      <c r="A78" s="4"/>
      <c r="B78" s="3"/>
      <c r="C78" s="3"/>
      <c r="D78" s="3"/>
      <c r="E78" s="3"/>
      <c r="F78" s="3"/>
      <c r="R78" s="181"/>
      <c r="S78" s="4"/>
      <c r="T78" s="3"/>
      <c r="U78" s="3"/>
      <c r="V78" s="3"/>
      <c r="W78" s="3"/>
      <c r="X78" s="3"/>
    </row>
    <row r="79" spans="1:24" ht="15.95" customHeight="1">
      <c r="A79" s="4"/>
      <c r="B79" s="3"/>
      <c r="C79" s="3"/>
      <c r="D79" s="3"/>
      <c r="E79" s="3"/>
      <c r="F79" s="3"/>
      <c r="R79" s="181"/>
      <c r="S79" s="4"/>
      <c r="T79" s="3"/>
      <c r="U79" s="3"/>
      <c r="V79" s="3"/>
      <c r="W79" s="3"/>
      <c r="X79" s="3"/>
    </row>
    <row r="80" spans="1:24" ht="15.95" customHeight="1">
      <c r="A80" s="4"/>
      <c r="B80" s="3"/>
      <c r="C80" s="3"/>
      <c r="D80" s="3"/>
      <c r="E80" s="3"/>
      <c r="F80" s="3"/>
      <c r="R80" s="181"/>
      <c r="S80" s="4"/>
      <c r="T80" s="3"/>
      <c r="U80" s="3"/>
      <c r="V80" s="3"/>
      <c r="W80" s="3"/>
      <c r="X80" s="3"/>
    </row>
    <row r="81" spans="1:24" ht="15.95" customHeight="1">
      <c r="A81" s="4"/>
      <c r="B81" s="3"/>
      <c r="C81" s="3"/>
      <c r="D81" s="3"/>
      <c r="E81" s="3"/>
      <c r="F81" s="3"/>
      <c r="R81" s="181"/>
      <c r="S81" s="4"/>
      <c r="T81" s="3"/>
      <c r="U81" s="3"/>
      <c r="V81" s="3"/>
      <c r="W81" s="3"/>
      <c r="X81" s="3"/>
    </row>
    <row r="82" spans="1:24">
      <c r="R82" s="181"/>
    </row>
    <row r="83" spans="1:24">
      <c r="R83" s="181"/>
    </row>
    <row r="84" spans="1:24">
      <c r="R84" s="181"/>
    </row>
    <row r="85" spans="1:24">
      <c r="R85" s="181"/>
    </row>
    <row r="86" spans="1:24">
      <c r="R86" s="181"/>
    </row>
    <row r="87" spans="1:24">
      <c r="R87" s="181"/>
    </row>
    <row r="88" spans="1:24">
      <c r="R88" s="181"/>
    </row>
    <row r="89" spans="1:24">
      <c r="R89" s="181"/>
    </row>
    <row r="90" spans="1:24">
      <c r="R90" s="181"/>
    </row>
    <row r="91" spans="1:24">
      <c r="R91" s="181"/>
    </row>
    <row r="92" spans="1:24">
      <c r="R92" s="181"/>
    </row>
    <row r="93" spans="1:24">
      <c r="R93" s="181"/>
    </row>
    <row r="94" spans="1:24">
      <c r="R94" s="181"/>
    </row>
    <row r="95" spans="1:24">
      <c r="R95" s="181"/>
    </row>
    <row r="96" spans="1:24">
      <c r="R96" s="181"/>
    </row>
    <row r="97" spans="18:18">
      <c r="R97" s="181"/>
    </row>
    <row r="98" spans="18:18">
      <c r="R98" s="181"/>
    </row>
    <row r="99" spans="18:18">
      <c r="R99" s="181"/>
    </row>
    <row r="100" spans="18:18">
      <c r="R100" s="181"/>
    </row>
    <row r="101" spans="18:18">
      <c r="R101" s="181"/>
    </row>
    <row r="102" spans="18:18">
      <c r="R102" s="181"/>
    </row>
    <row r="103" spans="18:18">
      <c r="R103" s="181"/>
    </row>
  </sheetData>
  <sheetProtection algorithmName="SHA-512" hashValue="QzC+0Ttgdk5X1ifsoO04szJ+WNQlqa1zoDOTI4tsiU3Zkihk6oSMS/ojRnLiHett8zkVjDRPBs3efAsexkbqmw==" saltValue="fi7/NvKELtvDYzDiEWShUA==" spinCount="100000" sheet="1" objects="1" scenarios="1"/>
  <mergeCells count="40">
    <mergeCell ref="B1:B5"/>
    <mergeCell ref="A1:A5"/>
    <mergeCell ref="S10:T10"/>
    <mergeCell ref="J7:P7"/>
    <mergeCell ref="H3:I3"/>
    <mergeCell ref="D1:D5"/>
    <mergeCell ref="F9:P9"/>
    <mergeCell ref="R4:R7"/>
    <mergeCell ref="U10:V10"/>
    <mergeCell ref="S33:T33"/>
    <mergeCell ref="U33:V33"/>
    <mergeCell ref="J21:P21"/>
    <mergeCell ref="J22:P22"/>
    <mergeCell ref="J16:P16"/>
    <mergeCell ref="J17:P17"/>
    <mergeCell ref="J18:P18"/>
    <mergeCell ref="J19:P19"/>
    <mergeCell ref="J20:P20"/>
    <mergeCell ref="F32:P32"/>
    <mergeCell ref="J23:P23"/>
    <mergeCell ref="J24:P24"/>
    <mergeCell ref="J25:P25"/>
    <mergeCell ref="J26:P26"/>
    <mergeCell ref="J11:P11"/>
    <mergeCell ref="J12:P12"/>
    <mergeCell ref="J13:P13"/>
    <mergeCell ref="J14:P14"/>
    <mergeCell ref="J27:P27"/>
    <mergeCell ref="J28:P28"/>
    <mergeCell ref="J15:P15"/>
    <mergeCell ref="J43:P43"/>
    <mergeCell ref="J34:P34"/>
    <mergeCell ref="J35:P35"/>
    <mergeCell ref="J36:P36"/>
    <mergeCell ref="J37:P37"/>
    <mergeCell ref="J38:P38"/>
    <mergeCell ref="J39:P39"/>
    <mergeCell ref="J40:P40"/>
    <mergeCell ref="J41:P41"/>
    <mergeCell ref="J42:P42"/>
  </mergeCells>
  <conditionalFormatting sqref="I5:L5">
    <cfRule type="cellIs" dxfId="86" priority="7" operator="equal">
      <formula>0</formula>
    </cfRule>
  </conditionalFormatting>
  <conditionalFormatting sqref="R8:R1048576 R1:R2 R4">
    <cfRule type="cellIs" dxfId="85" priority="1" operator="equal">
      <formula>"F"</formula>
    </cfRule>
    <cfRule type="cellIs" dxfId="84" priority="2" operator="equal">
      <formula>"V"</formula>
    </cfRule>
  </conditionalFormatting>
  <dataValidations count="4">
    <dataValidation type="list" allowBlank="1" showInputMessage="1" showErrorMessage="1" errorTitle="Erro" error="Unidade / Grupo inválida" sqref="F11:F28 F31 F34:F45" xr:uid="{00000000-0002-0000-0500-000001000000}">
      <formula1>Centros_Proj</formula1>
    </dataValidation>
    <dataValidation type="list" allowBlank="1" showInputMessage="1" showErrorMessage="1" sqref="G11:G28" xr:uid="{00000000-0002-0000-0500-000000000000}">
      <formula1>$S$10:$S$18</formula1>
    </dataValidation>
    <dataValidation type="list" allowBlank="1" showInputMessage="1" showErrorMessage="1" sqref="I11:I28 I31 I34:I45" xr:uid="{52D2C15C-C685-4B0E-A479-F694E15DE2E5}">
      <formula1>"Sim,Não"</formula1>
    </dataValidation>
    <dataValidation type="list" allowBlank="1" showInputMessage="1" showErrorMessage="1" sqref="G34:G45 G31" xr:uid="{00000000-0002-0000-0500-000002000000}">
      <formula1>$S$34:$S$39</formula1>
    </dataValidation>
  </dataValidations>
  <printOptions horizontalCentered="1"/>
  <pageMargins left="0.39370078740157483" right="0.39370078740157483" top="0.78740157480314965" bottom="0.23622047244094491" header="0.39370078740157483" footer="0.19685039370078741"/>
  <pageSetup paperSize="9" scale="65" orientation="landscape" horizontalDpi="1200" verticalDpi="1200" r:id="rId1"/>
  <headerFooter>
    <oddHeader>&amp;L&amp;G&amp;C&amp;"Arial,Bold"
&amp;14PROJETO DE SERVIÇOS DE I&amp;&amp;D E CONSULTORIA</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sheetPr>
  <dimension ref="A1:AH96"/>
  <sheetViews>
    <sheetView showGridLines="0" zoomScale="90" zoomScaleNormal="90" workbookViewId="0">
      <pane ySplit="8" topLeftCell="A9" activePane="bottomLeft" state="frozen"/>
      <selection pane="bottomLeft" activeCell="F1" sqref="F1"/>
      <selection sqref="A1:B1"/>
    </sheetView>
  </sheetViews>
  <sheetFormatPr defaultColWidth="9.140625" defaultRowHeight="14.1"/>
  <cols>
    <col min="1" max="1" width="5.5703125" style="55" hidden="1" customWidth="1"/>
    <col min="2" max="5" width="5.5703125" style="52" hidden="1" customWidth="1"/>
    <col min="6" max="6" width="12.5703125" style="15" customWidth="1"/>
    <col min="7" max="7" width="18.5703125" style="3" customWidth="1"/>
    <col min="8" max="12" width="14.5703125" style="3" customWidth="1"/>
    <col min="13" max="14" width="12.5703125" style="3" customWidth="1"/>
    <col min="15" max="15" width="30.5703125" style="3" customWidth="1"/>
    <col min="16" max="16" width="48.5703125" style="3" customWidth="1"/>
    <col min="17" max="17" width="1.5703125" style="197" customWidth="1"/>
    <col min="18" max="18" width="4.5703125" style="3" customWidth="1"/>
    <col min="19" max="32" width="9.140625" style="3" customWidth="1"/>
    <col min="33" max="16384" width="9.140625" style="3"/>
  </cols>
  <sheetData>
    <row r="1" spans="1:34" ht="24" customHeight="1">
      <c r="A1" s="601" t="s">
        <v>279</v>
      </c>
      <c r="B1" s="574" t="s">
        <v>98</v>
      </c>
      <c r="D1" s="574" t="s">
        <v>280</v>
      </c>
      <c r="F1" s="538" t="s">
        <v>99</v>
      </c>
      <c r="G1" s="538"/>
      <c r="H1" s="538"/>
      <c r="I1" s="538"/>
      <c r="J1" s="15"/>
      <c r="K1" s="15"/>
      <c r="M1" s="407" t="s">
        <v>314</v>
      </c>
      <c r="N1"/>
      <c r="O1"/>
      <c r="P1"/>
      <c r="Q1" s="201"/>
      <c r="R1" s="181" t="str">
        <f>IF(COUNTIFS(R$8:R$30,"F")&gt;0,"F","V")</f>
        <v>V</v>
      </c>
      <c r="S1"/>
      <c r="T1"/>
      <c r="U1"/>
    </row>
    <row r="2" spans="1:34" s="324" customFormat="1" ht="9.9499999999999993" customHeight="1">
      <c r="A2" s="601"/>
      <c r="B2" s="574"/>
      <c r="C2" s="335"/>
      <c r="D2" s="574"/>
      <c r="E2" s="335"/>
      <c r="F2" s="538"/>
      <c r="G2" s="538"/>
      <c r="H2" s="538"/>
      <c r="I2" s="538"/>
      <c r="J2" s="332"/>
      <c r="K2" s="332"/>
      <c r="L2" s="332"/>
      <c r="M2" s="332"/>
      <c r="N2" s="332"/>
      <c r="O2" s="332"/>
      <c r="P2" s="332"/>
      <c r="Q2" s="495"/>
    </row>
    <row r="3" spans="1:34" s="14" customFormat="1" ht="15.75" customHeight="1">
      <c r="A3" s="601"/>
      <c r="B3" s="574"/>
      <c r="C3" s="313"/>
      <c r="D3" s="574"/>
      <c r="E3" s="53"/>
      <c r="F3" s="312"/>
      <c r="G3" s="77" t="s">
        <v>202</v>
      </c>
      <c r="H3" s="591" t="str">
        <f>Projeto</f>
        <v>Amorim_OT_F1</v>
      </c>
      <c r="I3" s="592"/>
      <c r="J3" s="77" t="s">
        <v>203</v>
      </c>
      <c r="K3" s="321">
        <f>Inicio</f>
        <v>46023</v>
      </c>
      <c r="L3" s="77" t="s">
        <v>204</v>
      </c>
      <c r="M3" s="321">
        <f>Fim</f>
        <v>46368</v>
      </c>
      <c r="Q3" s="496"/>
    </row>
    <row r="4" spans="1:34" ht="9" customHeight="1">
      <c r="A4" s="601"/>
      <c r="B4" s="574"/>
      <c r="C4" s="314"/>
      <c r="D4" s="574"/>
      <c r="F4" s="3"/>
      <c r="G4" s="311"/>
      <c r="K4" s="14"/>
      <c r="L4" s="14"/>
      <c r="M4" s="14"/>
      <c r="R4" s="585" t="s">
        <v>205</v>
      </c>
      <c r="S4" s="14"/>
      <c r="T4" s="14"/>
    </row>
    <row r="5" spans="1:34" s="14" customFormat="1" ht="15.75" customHeight="1">
      <c r="A5" s="601"/>
      <c r="B5" s="574"/>
      <c r="C5" s="313"/>
      <c r="D5" s="574"/>
      <c r="E5" s="53"/>
      <c r="F5" s="13"/>
      <c r="G5" s="77" t="s">
        <v>207</v>
      </c>
      <c r="H5" s="315" t="str">
        <f>Centro_Prop</f>
        <v>CESE</v>
      </c>
      <c r="I5" s="315">
        <f>Centro1</f>
        <v>0</v>
      </c>
      <c r="J5" s="315">
        <f>Centro2</f>
        <v>0</v>
      </c>
      <c r="K5" s="315">
        <f>Centro3</f>
        <v>0</v>
      </c>
      <c r="L5" s="316">
        <f>Centro4</f>
        <v>0</v>
      </c>
      <c r="N5"/>
      <c r="O5"/>
      <c r="Q5" s="496"/>
      <c r="R5" s="585"/>
    </row>
    <row r="6" spans="1:34" s="489" customFormat="1" ht="9.9499999999999993" customHeight="1">
      <c r="A6" s="78" t="s">
        <v>101</v>
      </c>
      <c r="B6" s="500" t="s">
        <v>102</v>
      </c>
      <c r="C6" s="78" t="s">
        <v>282</v>
      </c>
      <c r="D6" s="491" t="s">
        <v>283</v>
      </c>
      <c r="E6" s="78" t="s">
        <v>284</v>
      </c>
      <c r="F6" s="78" t="s">
        <v>51</v>
      </c>
      <c r="G6" s="78" t="s">
        <v>315</v>
      </c>
      <c r="H6" s="78" t="s">
        <v>95</v>
      </c>
      <c r="I6" s="78" t="s">
        <v>286</v>
      </c>
      <c r="J6" s="78" t="s">
        <v>287</v>
      </c>
      <c r="K6" s="78"/>
      <c r="L6" s="78"/>
      <c r="M6" s="78"/>
      <c r="N6" s="78"/>
      <c r="O6" s="78"/>
      <c r="P6" s="78"/>
      <c r="Q6" s="78" t="s">
        <v>106</v>
      </c>
      <c r="R6" s="585"/>
    </row>
    <row r="7" spans="1:34" ht="45" customHeight="1">
      <c r="F7" s="182" t="s">
        <v>288</v>
      </c>
      <c r="G7" s="182" t="s">
        <v>316</v>
      </c>
      <c r="H7" s="182" t="s">
        <v>289</v>
      </c>
      <c r="I7" s="276" t="s">
        <v>290</v>
      </c>
      <c r="J7" s="565" t="s">
        <v>89</v>
      </c>
      <c r="K7" s="566"/>
      <c r="L7" s="566"/>
      <c r="M7" s="566"/>
      <c r="N7" s="566"/>
      <c r="O7" s="566"/>
      <c r="P7" s="567"/>
      <c r="Q7" s="201"/>
      <c r="R7" s="585"/>
      <c r="S7" s="21"/>
      <c r="T7" s="48"/>
      <c r="U7" s="48"/>
      <c r="V7" s="48"/>
      <c r="W7" s="48"/>
      <c r="X7" s="48"/>
    </row>
    <row r="8" spans="1:34" customFormat="1" ht="18" customHeight="1">
      <c r="A8" s="61"/>
      <c r="B8" s="61"/>
      <c r="C8" s="61"/>
      <c r="D8" s="61"/>
      <c r="E8" s="61"/>
      <c r="F8" s="61"/>
      <c r="G8" s="61"/>
      <c r="H8" s="61"/>
      <c r="I8" s="535"/>
      <c r="Q8" s="201"/>
      <c r="R8" s="536" t="s">
        <v>239</v>
      </c>
      <c r="Z8" s="60"/>
      <c r="AA8" s="60"/>
      <c r="AB8" s="60"/>
      <c r="AC8" s="60"/>
      <c r="AE8" s="63"/>
    </row>
    <row r="9" spans="1:34" ht="24" customHeight="1">
      <c r="F9" s="556" t="s">
        <v>317</v>
      </c>
      <c r="G9" s="556"/>
      <c r="H9" s="556"/>
      <c r="I9" s="556"/>
      <c r="J9" s="556"/>
      <c r="K9" s="556"/>
      <c r="L9" s="556"/>
      <c r="M9" s="556"/>
      <c r="N9" s="556"/>
      <c r="O9" s="556"/>
      <c r="P9" s="556"/>
      <c r="Q9" s="201"/>
    </row>
    <row r="10" spans="1:34" s="91" customFormat="1" ht="8.1" customHeight="1">
      <c r="A10" s="46" t="s">
        <v>108</v>
      </c>
      <c r="B10" s="46"/>
      <c r="C10" s="46"/>
      <c r="D10" s="46"/>
      <c r="E10" s="46"/>
      <c r="F10" s="46"/>
      <c r="G10" s="46"/>
      <c r="H10" s="55"/>
      <c r="I10" s="55"/>
      <c r="J10" s="176"/>
      <c r="K10" s="176"/>
      <c r="L10" s="176"/>
      <c r="M10" s="176"/>
      <c r="N10" s="176"/>
      <c r="O10" s="176"/>
      <c r="P10" s="176"/>
      <c r="Q10" s="197"/>
      <c r="T10" s="557"/>
      <c r="U10" s="557"/>
      <c r="V10" s="177"/>
      <c r="W10" s="180"/>
      <c r="X10" s="176"/>
      <c r="Y10" s="176"/>
      <c r="Z10" s="178"/>
      <c r="AA10" s="178"/>
      <c r="AB10" s="178"/>
      <c r="AC10" s="179"/>
      <c r="AH10" s="46"/>
    </row>
    <row r="11" spans="1:34" ht="15.95" customHeight="1">
      <c r="A11" s="46" t="s">
        <v>12</v>
      </c>
      <c r="B11" s="55" t="str">
        <f t="shared" ref="B11:B16" si="0">IF($F11&amp;$G11&amp;$H11="","X",IF(OR($F11="",$G11="",$H11=0),0,1))</f>
        <v>X</v>
      </c>
      <c r="C11" s="55" t="str">
        <f ca="1">IF($B11&lt;&gt;1,"","VR-"&amp;TEXT(SUM(INDIRECT(ADDRESS(ROW($B$10),COLUMN()-1)&amp;":"&amp;ADDRESS(ROW()-1,COLUMN()-1)))+1,"00"))</f>
        <v/>
      </c>
      <c r="D11" s="55" t="str">
        <f t="shared" ref="D11:D16" si="1">IF($B11&lt;&gt;1,$B11,IF($I11="Não","X",IF(AND($I11="Sim",$J11&lt;&gt;""),1,0)))</f>
        <v>X</v>
      </c>
      <c r="E11" s="55" t="str">
        <f ca="1">IF($D11&lt;&gt;1,"","V-"&amp;TEXT(SUM(INDIRECT(ADDRESS(ROW($D$10),COLUMN()-1)&amp;":"&amp;ADDRESS(ROW()-1,COLUMN()-1)))+1,"00"))</f>
        <v/>
      </c>
      <c r="F11" s="188"/>
      <c r="G11" s="187"/>
      <c r="H11" s="104"/>
      <c r="I11" s="209"/>
      <c r="J11" s="603"/>
      <c r="K11" s="604"/>
      <c r="L11" s="604"/>
      <c r="M11" s="604"/>
      <c r="N11" s="604"/>
      <c r="O11" s="604"/>
      <c r="P11" s="605"/>
      <c r="Q11" s="201"/>
      <c r="R11" s="181" t="str">
        <f t="shared" ref="R11:R16" si="2">IF(AND($B11=1,$D11&lt;&gt;0),"V",IF(OR($B11=0,$D11=0),"F",""))</f>
        <v/>
      </c>
    </row>
    <row r="12" spans="1:34" ht="15.95" customHeight="1">
      <c r="A12" s="46" t="s">
        <v>12</v>
      </c>
      <c r="B12" s="55" t="str">
        <f t="shared" si="0"/>
        <v>X</v>
      </c>
      <c r="C12" s="55" t="str">
        <f t="shared" ref="C12:C16" ca="1" si="3">IF($B12&lt;&gt;1,"","VR-"&amp;TEXT(SUM(INDIRECT(ADDRESS(ROW($B$10),COLUMN()-1)&amp;":"&amp;ADDRESS(ROW()-1,COLUMN()-1)))+1,"00"))</f>
        <v/>
      </c>
      <c r="D12" s="55" t="str">
        <f t="shared" si="1"/>
        <v>X</v>
      </c>
      <c r="E12" s="55" t="str">
        <f t="shared" ref="E12:E16" ca="1" si="4">IF($D12&lt;&gt;1,"","V-"&amp;TEXT(SUM(INDIRECT(ADDRESS(ROW($D$10),COLUMN()-1)&amp;":"&amp;ADDRESS(ROW()-1,COLUMN()-1)))+1,"00"))</f>
        <v/>
      </c>
      <c r="F12" s="188"/>
      <c r="G12" s="187"/>
      <c r="H12" s="104"/>
      <c r="I12" s="209"/>
      <c r="J12" s="603"/>
      <c r="K12" s="604"/>
      <c r="L12" s="604"/>
      <c r="M12" s="604"/>
      <c r="N12" s="604"/>
      <c r="O12" s="604"/>
      <c r="P12" s="605"/>
      <c r="R12" s="181" t="str">
        <f t="shared" si="2"/>
        <v/>
      </c>
    </row>
    <row r="13" spans="1:34" ht="15.95" customHeight="1">
      <c r="A13" s="46" t="s">
        <v>12</v>
      </c>
      <c r="B13" s="55" t="str">
        <f t="shared" si="0"/>
        <v>X</v>
      </c>
      <c r="C13" s="55" t="str">
        <f t="shared" ca="1" si="3"/>
        <v/>
      </c>
      <c r="D13" s="55" t="str">
        <f t="shared" si="1"/>
        <v>X</v>
      </c>
      <c r="E13" s="55" t="str">
        <f t="shared" ca="1" si="4"/>
        <v/>
      </c>
      <c r="F13" s="188"/>
      <c r="G13" s="187"/>
      <c r="H13" s="104"/>
      <c r="I13" s="209"/>
      <c r="J13" s="602"/>
      <c r="K13" s="599"/>
      <c r="L13" s="599"/>
      <c r="M13" s="599"/>
      <c r="N13" s="599"/>
      <c r="O13" s="599"/>
      <c r="P13" s="600"/>
      <c r="R13" s="181" t="str">
        <f t="shared" si="2"/>
        <v/>
      </c>
    </row>
    <row r="14" spans="1:34" ht="15.95" customHeight="1">
      <c r="A14" s="46" t="s">
        <v>12</v>
      </c>
      <c r="B14" s="55" t="str">
        <f t="shared" si="0"/>
        <v>X</v>
      </c>
      <c r="C14" s="55" t="str">
        <f t="shared" ca="1" si="3"/>
        <v/>
      </c>
      <c r="D14" s="55" t="str">
        <f t="shared" si="1"/>
        <v>X</v>
      </c>
      <c r="E14" s="55" t="str">
        <f t="shared" ca="1" si="4"/>
        <v/>
      </c>
      <c r="F14" s="188"/>
      <c r="G14" s="187"/>
      <c r="H14" s="104"/>
      <c r="I14" s="209"/>
      <c r="J14" s="602"/>
      <c r="K14" s="599"/>
      <c r="L14" s="599"/>
      <c r="M14" s="599"/>
      <c r="N14" s="599"/>
      <c r="O14" s="599"/>
      <c r="P14" s="600"/>
      <c r="R14" s="181" t="str">
        <f t="shared" si="2"/>
        <v/>
      </c>
    </row>
    <row r="15" spans="1:34" ht="15.95" customHeight="1">
      <c r="A15" s="46" t="s">
        <v>12</v>
      </c>
      <c r="B15" s="55" t="str">
        <f t="shared" si="0"/>
        <v>X</v>
      </c>
      <c r="C15" s="55" t="str">
        <f t="shared" ca="1" si="3"/>
        <v/>
      </c>
      <c r="D15" s="55" t="str">
        <f t="shared" si="1"/>
        <v>X</v>
      </c>
      <c r="E15" s="55" t="str">
        <f t="shared" ca="1" si="4"/>
        <v/>
      </c>
      <c r="F15" s="188"/>
      <c r="G15" s="187"/>
      <c r="H15" s="104"/>
      <c r="I15" s="209"/>
      <c r="J15" s="602"/>
      <c r="K15" s="599"/>
      <c r="L15" s="599"/>
      <c r="M15" s="599"/>
      <c r="N15" s="599"/>
      <c r="O15" s="599"/>
      <c r="P15" s="600"/>
      <c r="R15" s="181" t="str">
        <f t="shared" si="2"/>
        <v/>
      </c>
    </row>
    <row r="16" spans="1:34" ht="15.95" customHeight="1">
      <c r="A16" s="46" t="s">
        <v>12</v>
      </c>
      <c r="B16" s="55" t="str">
        <f t="shared" si="0"/>
        <v>X</v>
      </c>
      <c r="C16" s="55" t="str">
        <f t="shared" ca="1" si="3"/>
        <v/>
      </c>
      <c r="D16" s="55" t="str">
        <f t="shared" si="1"/>
        <v>X</v>
      </c>
      <c r="E16" s="55" t="str">
        <f t="shared" ca="1" si="4"/>
        <v/>
      </c>
      <c r="F16" s="188"/>
      <c r="G16" s="187"/>
      <c r="H16" s="104"/>
      <c r="I16" s="209"/>
      <c r="J16" s="602"/>
      <c r="K16" s="599"/>
      <c r="L16" s="599"/>
      <c r="M16" s="599"/>
      <c r="N16" s="599"/>
      <c r="O16" s="599"/>
      <c r="P16" s="600"/>
      <c r="R16" s="181" t="str">
        <f t="shared" si="2"/>
        <v/>
      </c>
    </row>
    <row r="17" spans="1:34" customFormat="1" ht="8.1" customHeight="1">
      <c r="A17" s="55"/>
      <c r="B17" s="55"/>
      <c r="C17" s="55"/>
      <c r="D17" s="55"/>
      <c r="E17" s="55"/>
      <c r="F17" s="46"/>
      <c r="G17" s="186"/>
      <c r="H17" s="55"/>
      <c r="K17" s="96"/>
      <c r="Q17" s="197"/>
      <c r="R17" s="22"/>
      <c r="Z17" s="60"/>
      <c r="AA17" s="60"/>
      <c r="AB17" s="60"/>
      <c r="AC17" s="60"/>
      <c r="AH17" s="46"/>
    </row>
    <row r="18" spans="1:34" s="22" customFormat="1" ht="24" customHeight="1">
      <c r="A18" s="282"/>
      <c r="B18" s="46"/>
      <c r="C18" s="55"/>
      <c r="D18" s="55"/>
      <c r="E18" s="55"/>
      <c r="F18" s="28"/>
      <c r="G18" s="24" t="s">
        <v>318</v>
      </c>
      <c r="H18" s="417">
        <f>SUMIFS($H11:$H16,$R11:$R16,"V")</f>
        <v>0</v>
      </c>
      <c r="I18" s="417">
        <f>SUMIFS($H11:$H16,$I11:$I16,"Sim",$R11:$R16,"V")</f>
        <v>0</v>
      </c>
      <c r="J18" s="234" t="s">
        <v>319</v>
      </c>
      <c r="Q18" s="197"/>
    </row>
    <row r="19" spans="1:34" ht="15.95" customHeight="1">
      <c r="B19" s="283"/>
      <c r="H19" s="26"/>
      <c r="I19" s="26"/>
      <c r="R19" s="21"/>
      <c r="S19" s="48"/>
      <c r="T19" s="48"/>
      <c r="U19" s="48"/>
      <c r="V19" s="48"/>
      <c r="W19" s="48"/>
    </row>
    <row r="20" spans="1:34" ht="24" customHeight="1">
      <c r="F20" s="556" t="s">
        <v>320</v>
      </c>
      <c r="G20" s="556"/>
      <c r="H20" s="556"/>
      <c r="I20" s="556"/>
      <c r="J20" s="556"/>
      <c r="K20" s="556"/>
      <c r="L20" s="556"/>
      <c r="M20" s="556"/>
      <c r="N20" s="556"/>
      <c r="O20" s="556"/>
      <c r="P20" s="556"/>
      <c r="Q20" s="201"/>
    </row>
    <row r="21" spans="1:34" s="91" customFormat="1" ht="8.1" customHeight="1">
      <c r="A21" s="46"/>
      <c r="B21" s="46"/>
      <c r="C21" s="46"/>
      <c r="D21" s="46"/>
      <c r="E21" s="46"/>
      <c r="F21" s="46"/>
      <c r="G21" s="46"/>
      <c r="H21" s="55"/>
      <c r="I21" s="55"/>
      <c r="J21" s="176"/>
      <c r="K21" s="176"/>
      <c r="L21" s="176"/>
      <c r="M21" s="176"/>
      <c r="N21" s="176"/>
      <c r="O21" s="176"/>
      <c r="P21" s="176"/>
      <c r="Q21" s="197"/>
      <c r="T21" s="557"/>
      <c r="U21" s="557"/>
      <c r="V21" s="177"/>
      <c r="W21" s="180"/>
      <c r="X21" s="176"/>
      <c r="Y21" s="176"/>
      <c r="Z21" s="178"/>
      <c r="AA21" s="178"/>
      <c r="AB21" s="178"/>
      <c r="AC21" s="179"/>
      <c r="AH21" s="46"/>
    </row>
    <row r="22" spans="1:34" ht="15.95" customHeight="1">
      <c r="A22" s="46" t="s">
        <v>12</v>
      </c>
      <c r="B22" s="55" t="str">
        <f t="shared" ref="B22:B27" si="5">IF($F22&amp;$G22&amp;$H22="","X",IF(OR($F22="",$G22="",$H22=0),0,1))</f>
        <v>X</v>
      </c>
      <c r="C22" s="55" t="str">
        <f ca="1">IF($B22&lt;&gt;1,"","VL-"&amp;TEXT(SUM(INDIRECT(ADDRESS(ROW($B$21),COLUMN()-1)&amp;":"&amp;ADDRESS(ROW()-1,COLUMN()-1)))+1,"00"))</f>
        <v/>
      </c>
      <c r="D22" s="55" t="str">
        <f t="shared" ref="D22:D27" si="6">IF($B22&lt;&gt;1,$B22,IF($I22="Não","X",IF(AND($I22="Sim",$J22&lt;&gt;""),1,0)))</f>
        <v>X</v>
      </c>
      <c r="E22" s="55" t="str">
        <f ca="1">IF($D22&lt;&gt;1,"","V-"&amp;TEXT(SUM(INDIRECT(ADDRESS(ROW($D$10),COLUMN()-1)&amp;":"&amp;ADDRESS(ROW()-1,COLUMN()-1)))+1,"00"))</f>
        <v/>
      </c>
      <c r="F22" s="188"/>
      <c r="G22" s="187"/>
      <c r="H22" s="104"/>
      <c r="I22" s="209"/>
      <c r="J22" s="603"/>
      <c r="K22" s="604"/>
      <c r="L22" s="604"/>
      <c r="M22" s="604"/>
      <c r="N22" s="604"/>
      <c r="O22" s="604"/>
      <c r="P22" s="605"/>
      <c r="Q22" s="201"/>
      <c r="R22" s="181" t="str">
        <f t="shared" ref="R22:R27" si="7">IF(AND($B22=1,$D22&lt;&gt;0),"V",IF(OR($B22=0,$D22=0),"F",""))</f>
        <v/>
      </c>
    </row>
    <row r="23" spans="1:34" ht="15.95" customHeight="1">
      <c r="A23" s="46" t="s">
        <v>12</v>
      </c>
      <c r="B23" s="55" t="str">
        <f t="shared" si="5"/>
        <v>X</v>
      </c>
      <c r="C23" s="55" t="str">
        <f t="shared" ref="C23:C27" ca="1" si="8">IF($B23&lt;&gt;1,"","VL-"&amp;TEXT(SUM(INDIRECT(ADDRESS(ROW($B$21),COLUMN()-1)&amp;":"&amp;ADDRESS(ROW()-1,COLUMN()-1)))+1,"00"))</f>
        <v/>
      </c>
      <c r="D23" s="55" t="str">
        <f t="shared" si="6"/>
        <v>X</v>
      </c>
      <c r="E23" s="55" t="str">
        <f t="shared" ref="E23:E27" ca="1" si="9">IF($D23&lt;&gt;1,"","VR-"&amp;TEXT(SUM(INDIRECT(ADDRESS(ROW($D$10),COLUMN()-1)&amp;":"&amp;ADDRESS(ROW()-1,COLUMN()-1)))+1,"00"))</f>
        <v/>
      </c>
      <c r="F23" s="188"/>
      <c r="G23" s="187"/>
      <c r="H23" s="104"/>
      <c r="I23" s="209"/>
      <c r="J23" s="602"/>
      <c r="K23" s="599"/>
      <c r="L23" s="599"/>
      <c r="M23" s="599"/>
      <c r="N23" s="599"/>
      <c r="O23" s="599"/>
      <c r="P23" s="600"/>
      <c r="R23" s="181" t="str">
        <f t="shared" si="7"/>
        <v/>
      </c>
    </row>
    <row r="24" spans="1:34" ht="15.95" customHeight="1">
      <c r="A24" s="46" t="s">
        <v>12</v>
      </c>
      <c r="B24" s="55" t="str">
        <f t="shared" si="5"/>
        <v>X</v>
      </c>
      <c r="C24" s="55" t="str">
        <f t="shared" ca="1" si="8"/>
        <v/>
      </c>
      <c r="D24" s="55" t="str">
        <f t="shared" si="6"/>
        <v>X</v>
      </c>
      <c r="E24" s="55" t="str">
        <f t="shared" ca="1" si="9"/>
        <v/>
      </c>
      <c r="F24" s="188"/>
      <c r="G24" s="187"/>
      <c r="H24" s="104"/>
      <c r="I24" s="209"/>
      <c r="J24" s="602"/>
      <c r="K24" s="599"/>
      <c r="L24" s="599"/>
      <c r="M24" s="599"/>
      <c r="N24" s="599"/>
      <c r="O24" s="599"/>
      <c r="P24" s="600"/>
      <c r="R24" s="181" t="str">
        <f t="shared" si="7"/>
        <v/>
      </c>
    </row>
    <row r="25" spans="1:34" ht="15.95" customHeight="1">
      <c r="A25" s="46" t="s">
        <v>12</v>
      </c>
      <c r="B25" s="55" t="str">
        <f t="shared" si="5"/>
        <v>X</v>
      </c>
      <c r="C25" s="55" t="str">
        <f t="shared" ca="1" si="8"/>
        <v/>
      </c>
      <c r="D25" s="55" t="str">
        <f t="shared" si="6"/>
        <v>X</v>
      </c>
      <c r="E25" s="55" t="str">
        <f t="shared" ca="1" si="9"/>
        <v/>
      </c>
      <c r="F25" s="188"/>
      <c r="G25" s="187"/>
      <c r="H25" s="104"/>
      <c r="I25" s="209"/>
      <c r="J25" s="602"/>
      <c r="K25" s="599"/>
      <c r="L25" s="599"/>
      <c r="M25" s="599"/>
      <c r="N25" s="599"/>
      <c r="O25" s="599"/>
      <c r="P25" s="600"/>
      <c r="R25" s="181" t="str">
        <f t="shared" si="7"/>
        <v/>
      </c>
    </row>
    <row r="26" spans="1:34" ht="15.95" customHeight="1">
      <c r="A26" s="46" t="s">
        <v>12</v>
      </c>
      <c r="B26" s="55" t="str">
        <f t="shared" si="5"/>
        <v>X</v>
      </c>
      <c r="C26" s="55" t="str">
        <f t="shared" ca="1" si="8"/>
        <v/>
      </c>
      <c r="D26" s="55" t="str">
        <f t="shared" si="6"/>
        <v>X</v>
      </c>
      <c r="E26" s="55" t="str">
        <f t="shared" ca="1" si="9"/>
        <v/>
      </c>
      <c r="F26" s="188"/>
      <c r="G26" s="187"/>
      <c r="H26" s="104"/>
      <c r="I26" s="209"/>
      <c r="J26" s="602"/>
      <c r="K26" s="599"/>
      <c r="L26" s="599"/>
      <c r="M26" s="599"/>
      <c r="N26" s="599"/>
      <c r="O26" s="599"/>
      <c r="P26" s="600"/>
      <c r="R26" s="181" t="str">
        <f t="shared" si="7"/>
        <v/>
      </c>
    </row>
    <row r="27" spans="1:34" ht="15.95" customHeight="1">
      <c r="A27" s="46" t="s">
        <v>12</v>
      </c>
      <c r="B27" s="55" t="str">
        <f t="shared" si="5"/>
        <v>X</v>
      </c>
      <c r="C27" s="55" t="str">
        <f t="shared" ca="1" si="8"/>
        <v/>
      </c>
      <c r="D27" s="55" t="str">
        <f t="shared" si="6"/>
        <v>X</v>
      </c>
      <c r="E27" s="55" t="str">
        <f t="shared" ca="1" si="9"/>
        <v/>
      </c>
      <c r="F27" s="188"/>
      <c r="G27" s="187"/>
      <c r="H27" s="104"/>
      <c r="I27" s="209"/>
      <c r="J27" s="602"/>
      <c r="K27" s="599"/>
      <c r="L27" s="599"/>
      <c r="M27" s="599"/>
      <c r="N27" s="599"/>
      <c r="O27" s="599"/>
      <c r="P27" s="600"/>
      <c r="R27" s="181" t="str">
        <f t="shared" si="7"/>
        <v/>
      </c>
    </row>
    <row r="28" spans="1:34" customFormat="1" ht="8.1" customHeight="1">
      <c r="A28" s="55" t="s">
        <v>189</v>
      </c>
      <c r="B28" s="55"/>
      <c r="C28" s="55"/>
      <c r="D28" s="55"/>
      <c r="E28" s="55"/>
      <c r="F28" s="46"/>
      <c r="G28" s="186"/>
      <c r="H28" s="55"/>
      <c r="K28" s="96"/>
      <c r="Q28" s="197"/>
      <c r="R28" s="22"/>
      <c r="Z28" s="60"/>
      <c r="AA28" s="60"/>
      <c r="AB28" s="60"/>
      <c r="AC28" s="60"/>
      <c r="AH28" s="46"/>
    </row>
    <row r="29" spans="1:34" s="22" customFormat="1" ht="24" customHeight="1">
      <c r="A29" s="282"/>
      <c r="B29" s="46"/>
      <c r="C29" s="55"/>
      <c r="D29" s="55"/>
      <c r="E29" s="55"/>
      <c r="F29" s="28"/>
      <c r="G29" s="24" t="s">
        <v>321</v>
      </c>
      <c r="H29" s="417">
        <f>SUMIFS($H22:$H27,$R22:$R27,"V")</f>
        <v>0</v>
      </c>
      <c r="I29" s="417">
        <f>SUMIFS($H22:$H27,$I22:$I27,"Sim",$R22:$R27,"V")</f>
        <v>0</v>
      </c>
      <c r="J29" s="234" t="s">
        <v>322</v>
      </c>
      <c r="Q29" s="197"/>
    </row>
    <row r="30" spans="1:34" ht="15.95" customHeight="1">
      <c r="H30" s="26"/>
      <c r="I30" s="26"/>
      <c r="R30" s="21"/>
      <c r="S30" s="48"/>
      <c r="T30" s="48"/>
      <c r="U30" s="48"/>
      <c r="V30" s="48"/>
      <c r="W30" s="48"/>
    </row>
    <row r="31" spans="1:34" s="22" customFormat="1" ht="15.95" customHeight="1">
      <c r="A31" s="282"/>
      <c r="B31" s="54"/>
      <c r="C31" s="54"/>
      <c r="D31" s="54"/>
      <c r="E31" s="54"/>
      <c r="F31" s="485"/>
      <c r="G31" s="47" t="s">
        <v>191</v>
      </c>
      <c r="Q31" s="201"/>
      <c r="R31" s="29"/>
      <c r="S31" s="51"/>
      <c r="T31" s="51"/>
      <c r="U31" s="51"/>
      <c r="V31" s="51"/>
      <c r="W31" s="51"/>
    </row>
    <row r="32" spans="1:34" s="78" customFormat="1" ht="15.95" customHeight="1">
      <c r="A32" s="78" t="s">
        <v>106</v>
      </c>
      <c r="B32" s="78" t="s">
        <v>190</v>
      </c>
      <c r="C32" s="78" t="s">
        <v>190</v>
      </c>
      <c r="D32" s="78" t="s">
        <v>190</v>
      </c>
      <c r="E32" s="78" t="s">
        <v>190</v>
      </c>
      <c r="F32" s="78" t="s">
        <v>12</v>
      </c>
      <c r="G32" s="78" t="s">
        <v>12</v>
      </c>
      <c r="H32" s="78" t="s">
        <v>12</v>
      </c>
      <c r="I32" s="78" t="s">
        <v>12</v>
      </c>
      <c r="J32" s="78" t="s">
        <v>12</v>
      </c>
    </row>
    <row r="33" spans="17:17">
      <c r="Q33" s="201"/>
    </row>
    <row r="35" spans="17:17">
      <c r="Q35" s="497"/>
    </row>
    <row r="42" spans="17:17">
      <c r="Q42" s="201"/>
    </row>
    <row r="44" spans="17:17">
      <c r="Q44" s="201"/>
    </row>
    <row r="46" spans="17:17">
      <c r="Q46" s="497"/>
    </row>
    <row r="59" spans="17:17">
      <c r="Q59" s="201"/>
    </row>
    <row r="61" spans="17:17">
      <c r="Q61" s="201"/>
    </row>
    <row r="63" spans="17:17">
      <c r="Q63" s="498"/>
    </row>
    <row r="72" spans="17:17">
      <c r="Q72" s="201"/>
    </row>
    <row r="77" spans="17:17">
      <c r="Q77" s="499"/>
    </row>
    <row r="87" spans="17:17">
      <c r="Q87" s="201"/>
    </row>
    <row r="88" spans="17:17">
      <c r="Q88" s="201"/>
    </row>
    <row r="89" spans="17:17">
      <c r="Q89" s="201"/>
    </row>
    <row r="90" spans="17:17">
      <c r="Q90" s="201"/>
    </row>
    <row r="91" spans="17:17">
      <c r="Q91" s="201"/>
    </row>
    <row r="92" spans="17:17">
      <c r="Q92" s="201"/>
    </row>
    <row r="93" spans="17:17">
      <c r="Q93" s="201"/>
    </row>
    <row r="94" spans="17:17">
      <c r="Q94" s="201"/>
    </row>
    <row r="95" spans="17:17">
      <c r="Q95" s="201"/>
    </row>
    <row r="96" spans="17:17">
      <c r="Q96" s="201"/>
    </row>
  </sheetData>
  <sheetProtection algorithmName="SHA-512" hashValue="wgtaqfpbOmWITbK1Bip/XjnDBlGaY4K8g4+XPYBYn9aT3UJ9AVar4R2YZY6qA3FDarjroPkLU8d+IfNLbSs+PA==" saltValue="qp47wEUTOiqxbFSqFc6wpg==" spinCount="100000" sheet="1" objects="1" scenarios="1"/>
  <mergeCells count="22">
    <mergeCell ref="D1:D5"/>
    <mergeCell ref="J14:P14"/>
    <mergeCell ref="T10:U10"/>
    <mergeCell ref="B1:B5"/>
    <mergeCell ref="A1:A5"/>
    <mergeCell ref="H3:I3"/>
    <mergeCell ref="J7:P7"/>
    <mergeCell ref="F9:P9"/>
    <mergeCell ref="R4:R7"/>
    <mergeCell ref="J15:P15"/>
    <mergeCell ref="J16:P16"/>
    <mergeCell ref="J11:P11"/>
    <mergeCell ref="J12:P12"/>
    <mergeCell ref="J13:P13"/>
    <mergeCell ref="F20:P20"/>
    <mergeCell ref="J25:P25"/>
    <mergeCell ref="J26:P26"/>
    <mergeCell ref="J27:P27"/>
    <mergeCell ref="T21:U21"/>
    <mergeCell ref="J22:P22"/>
    <mergeCell ref="J23:P23"/>
    <mergeCell ref="J24:P24"/>
  </mergeCells>
  <phoneticPr fontId="2" type="noConversion"/>
  <conditionalFormatting sqref="I5:L5">
    <cfRule type="cellIs" dxfId="83" priority="4" operator="equal">
      <formula>0</formula>
    </cfRule>
  </conditionalFormatting>
  <conditionalFormatting sqref="R8:R1048576 R1:R2 R4">
    <cfRule type="cellIs" dxfId="82" priority="1" operator="equal">
      <formula>"F"</formula>
    </cfRule>
    <cfRule type="cellIs" dxfId="81" priority="2" operator="equal">
      <formula>"V"</formula>
    </cfRule>
  </conditionalFormatting>
  <dataValidations count="4">
    <dataValidation type="list" allowBlank="1" showInputMessage="1" showErrorMessage="1" errorTitle="Erro" error="Unidade / Grupo inválida" sqref="F11:F16 F22:F27" xr:uid="{00000000-0002-0000-0600-000000000000}">
      <formula1>Centros_Proj</formula1>
    </dataValidation>
    <dataValidation type="list" allowBlank="1" showInputMessage="1" showErrorMessage="1" sqref="G11:G16" xr:uid="{AE00650B-9DDC-4191-9F27-A79A8FE47874}">
      <formula1>"Protótipo,Software,Metodologia,Outro"</formula1>
    </dataValidation>
    <dataValidation type="list" allowBlank="1" showInputMessage="1" showErrorMessage="1" sqref="I11:I16 I22:I27" xr:uid="{B05BB264-5584-4A0F-A48D-42FBCD8C8B01}">
      <formula1>"Sim,Não"</formula1>
    </dataValidation>
    <dataValidation type="list" allowBlank="1" showInputMessage="1" showErrorMessage="1" sqref="G22:G27" xr:uid="{10680D20-A566-4AAC-8A0A-8BEE32F36003}">
      <formula1>"Laboratório,Equipamento"</formula1>
    </dataValidation>
  </dataValidations>
  <printOptions horizontalCentered="1"/>
  <pageMargins left="0.39370078740157483" right="0.39370078740157483" top="0.78740157480314965" bottom="0.23622047244094491" header="0.39370078740157483" footer="0.19685039370078741"/>
  <pageSetup paperSize="9" scale="65" orientation="landscape" horizontalDpi="1200" verticalDpi="1200" r:id="rId1"/>
  <headerFooter>
    <oddHeader>&amp;L&amp;G&amp;C&amp;"Arial,Bold"
&amp;14PROJETO DE SERVIÇOS DE I&amp;&amp;D E CONSULTORIA</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tabColor rgb="FF00FF00"/>
  </sheetPr>
  <dimension ref="A1:AM83"/>
  <sheetViews>
    <sheetView showGridLines="0" topLeftCell="C32" zoomScaleNormal="100" workbookViewId="0">
      <selection activeCell="I60" sqref="I60"/>
    </sheetView>
  </sheetViews>
  <sheetFormatPr defaultColWidth="9.140625" defaultRowHeight="14.1"/>
  <cols>
    <col min="1" max="1" width="8.5703125" style="86" hidden="1" customWidth="1"/>
    <col min="2" max="2" width="9.42578125" style="55" hidden="1" customWidth="1"/>
    <col min="3" max="3" width="36.5703125" style="3" customWidth="1"/>
    <col min="4" max="9" width="16.5703125" style="3" customWidth="1"/>
    <col min="10" max="10" width="2.85546875" style="501" customWidth="1"/>
    <col min="11" max="11" width="4.5703125" style="44" customWidth="1"/>
    <col min="12" max="12" width="10.140625" style="450" customWidth="1"/>
    <col min="13" max="16384" width="9.140625" style="3"/>
  </cols>
  <sheetData>
    <row r="1" spans="1:19" ht="24" customHeight="1">
      <c r="A1" s="55"/>
      <c r="C1" s="87" t="s">
        <v>323</v>
      </c>
      <c r="D1" s="20"/>
      <c r="E1" s="15"/>
      <c r="F1" s="15"/>
      <c r="G1" s="15"/>
      <c r="H1" s="15"/>
      <c r="K1" s="43" t="str">
        <f ca="1">IF(COUNTIFS($K$17:$K$83,"Erro")=0,"V","Erro")</f>
        <v>V</v>
      </c>
    </row>
    <row r="2" spans="1:19" s="324" customFormat="1" ht="30" customHeight="1">
      <c r="A2" s="3"/>
      <c r="B2" s="326"/>
      <c r="C2" s="575" t="s">
        <v>324</v>
      </c>
      <c r="D2" s="575"/>
      <c r="E2" s="575"/>
      <c r="F2" s="575"/>
      <c r="G2" s="575"/>
      <c r="H2" s="575"/>
      <c r="I2" s="575"/>
      <c r="J2" s="501"/>
      <c r="K2" s="334"/>
      <c r="L2" s="451"/>
      <c r="N2" s="325"/>
      <c r="O2" s="325"/>
      <c r="P2" s="325"/>
      <c r="Q2" s="325"/>
      <c r="R2" s="325"/>
      <c r="S2" s="325"/>
    </row>
    <row r="3" spans="1:19" s="14" customFormat="1" ht="15.75" customHeight="1">
      <c r="A3" s="86"/>
      <c r="B3" s="55"/>
      <c r="C3" s="77" t="s">
        <v>202</v>
      </c>
      <c r="D3" s="591" t="str">
        <f>Projeto</f>
        <v>Amorim_OT_F1</v>
      </c>
      <c r="E3" s="592"/>
      <c r="F3" s="77" t="s">
        <v>325</v>
      </c>
      <c r="G3" s="591" t="str">
        <f>Cliente</f>
        <v>Corticeira Amorim</v>
      </c>
      <c r="H3" s="592"/>
      <c r="J3" s="501"/>
      <c r="K3" s="297"/>
      <c r="L3" s="450"/>
    </row>
    <row r="4" spans="1:19" ht="9" customHeight="1">
      <c r="C4" s="311"/>
      <c r="F4" s="14"/>
      <c r="G4" s="14"/>
      <c r="H4" s="14"/>
      <c r="I4" s="14"/>
    </row>
    <row r="5" spans="1:19" s="14" customFormat="1" ht="15.75" customHeight="1">
      <c r="A5" s="86"/>
      <c r="B5" s="55"/>
      <c r="C5" s="77" t="s">
        <v>207</v>
      </c>
      <c r="D5" s="315" t="str">
        <f>Centro_Prop</f>
        <v>CESE</v>
      </c>
      <c r="E5" s="315">
        <f>Centro1</f>
        <v>0</v>
      </c>
      <c r="F5" s="315">
        <f>Centro2</f>
        <v>0</v>
      </c>
      <c r="G5" s="315">
        <f>Centro3</f>
        <v>0</v>
      </c>
      <c r="H5" s="316">
        <f>Centro4</f>
        <v>0</v>
      </c>
      <c r="J5" s="501"/>
      <c r="K5" s="297"/>
      <c r="L5" s="450"/>
    </row>
    <row r="6" spans="1:19" ht="9" customHeight="1">
      <c r="A6" s="84"/>
      <c r="B6" s="3"/>
      <c r="C6" s="311"/>
      <c r="H6" s="14"/>
      <c r="I6" s="14"/>
      <c r="K6" s="3"/>
    </row>
    <row r="7" spans="1:19" s="14" customFormat="1" ht="15.95" customHeight="1">
      <c r="A7" s="88"/>
      <c r="C7" s="77" t="s">
        <v>326</v>
      </c>
      <c r="D7" s="591" t="str">
        <f>Resp_Proj</f>
        <v>Rui Rebelo</v>
      </c>
      <c r="E7" s="607"/>
      <c r="F7" s="592"/>
      <c r="H7"/>
      <c r="J7" s="501"/>
      <c r="L7" s="450"/>
    </row>
    <row r="8" spans="1:19" ht="9" customHeight="1">
      <c r="C8" s="311"/>
      <c r="F8" s="14"/>
      <c r="G8" s="14"/>
      <c r="H8" s="14"/>
    </row>
    <row r="9" spans="1:19" s="14" customFormat="1" ht="15.6">
      <c r="A9" s="86"/>
      <c r="B9" s="55"/>
      <c r="C9" s="77" t="s">
        <v>203</v>
      </c>
      <c r="D9" s="321">
        <f>Inicio</f>
        <v>46023</v>
      </c>
      <c r="E9" s="77" t="s">
        <v>204</v>
      </c>
      <c r="F9" s="321">
        <f>Fim</f>
        <v>46368</v>
      </c>
      <c r="G9" s="77" t="s">
        <v>327</v>
      </c>
      <c r="H9" s="322">
        <f>Duracao</f>
        <v>11.3</v>
      </c>
      <c r="J9" s="501"/>
      <c r="K9" s="297"/>
      <c r="L9" s="450"/>
    </row>
    <row r="10" spans="1:19" ht="15.95" customHeight="1" thickBot="1">
      <c r="A10" s="50"/>
      <c r="B10" s="3"/>
      <c r="G10" s="351" t="s">
        <v>328</v>
      </c>
      <c r="H10" s="210"/>
      <c r="M10" s="5"/>
    </row>
    <row r="11" spans="1:19" s="197" customFormat="1" ht="9.9499999999999993" customHeight="1">
      <c r="A11" s="247" t="s">
        <v>101</v>
      </c>
      <c r="B11" s="78" t="s">
        <v>329</v>
      </c>
      <c r="C11" s="616"/>
      <c r="D11" s="616"/>
      <c r="E11" s="616"/>
      <c r="F11" s="616"/>
      <c r="G11" s="616"/>
      <c r="H11" s="616"/>
      <c r="I11" s="616"/>
      <c r="J11" s="501" t="s">
        <v>106</v>
      </c>
      <c r="K11" s="437"/>
      <c r="L11" s="502"/>
    </row>
    <row r="12" spans="1:19" ht="30" customHeight="1">
      <c r="C12" s="608" t="s">
        <v>330</v>
      </c>
      <c r="D12" s="608"/>
      <c r="E12" s="608"/>
      <c r="F12" s="608"/>
      <c r="G12" s="608"/>
      <c r="H12" s="608"/>
      <c r="I12" s="608"/>
    </row>
    <row r="13" spans="1:19" ht="18.75" customHeight="1">
      <c r="C13" s="608" t="s">
        <v>331</v>
      </c>
      <c r="D13" s="608"/>
      <c r="E13" s="608"/>
      <c r="F13" s="608"/>
      <c r="G13" s="608"/>
      <c r="H13" s="608"/>
      <c r="I13" s="608"/>
    </row>
    <row r="14" spans="1:19" s="217" customFormat="1" ht="20.100000000000001" customHeight="1">
      <c r="A14" s="340"/>
      <c r="H14" s="281"/>
      <c r="J14" s="501"/>
      <c r="K14" s="291"/>
      <c r="L14" s="452"/>
    </row>
    <row r="15" spans="1:19" ht="30" customHeight="1">
      <c r="C15" s="556" t="s">
        <v>332</v>
      </c>
      <c r="D15" s="556"/>
      <c r="E15" s="556"/>
      <c r="F15" s="556"/>
      <c r="G15" s="556"/>
      <c r="H15" s="556"/>
      <c r="I15" s="556"/>
      <c r="K15" s="50"/>
    </row>
    <row r="16" spans="1:19" s="22" customFormat="1" ht="18" customHeight="1">
      <c r="A16" s="339"/>
      <c r="C16" s="566" t="s">
        <v>333</v>
      </c>
      <c r="D16" s="566" t="s">
        <v>164</v>
      </c>
      <c r="E16" s="566"/>
      <c r="F16" s="566" t="s">
        <v>334</v>
      </c>
      <c r="G16" s="610" t="s">
        <v>233</v>
      </c>
      <c r="H16" s="610" t="s">
        <v>335</v>
      </c>
      <c r="I16" s="610" t="s">
        <v>59</v>
      </c>
      <c r="J16" s="501"/>
      <c r="K16" s="298"/>
      <c r="L16" s="453"/>
    </row>
    <row r="17" spans="1:39" s="22" customFormat="1" ht="18" customHeight="1">
      <c r="A17" s="339"/>
      <c r="C17" s="566"/>
      <c r="D17" s="566"/>
      <c r="E17" s="566"/>
      <c r="F17" s="566"/>
      <c r="G17" s="610"/>
      <c r="H17" s="610"/>
      <c r="I17" s="610"/>
      <c r="J17" s="501"/>
      <c r="K17" s="298"/>
      <c r="L17" s="453"/>
    </row>
    <row r="18" spans="1:39" ht="15.95" customHeight="1">
      <c r="C18" s="619" t="s">
        <v>336</v>
      </c>
      <c r="D18" s="615" t="s">
        <v>242</v>
      </c>
      <c r="E18" s="615"/>
      <c r="F18" s="307" t="s">
        <v>176</v>
      </c>
      <c r="G18" s="79">
        <f>SUMIFS(RH!$T:$T,RH!$Q:$Q,$D18,RH!$E:$E,1)</f>
        <v>2</v>
      </c>
      <c r="H18" s="80">
        <f>IF(G18=0,"",INDEX(Dados_Gerais!$H$36:$H$41,MATCH($F18,Dados_Gerais!$D$36:$D$41,0)))</f>
        <v>15700</v>
      </c>
      <c r="I18" s="80">
        <f t="shared" ref="I18:I27" si="0">IF($G18=0,"",$G18*$H18)</f>
        <v>31400</v>
      </c>
    </row>
    <row r="19" spans="1:39">
      <c r="C19" s="619"/>
      <c r="D19" s="615" t="s">
        <v>337</v>
      </c>
      <c r="E19" s="615"/>
      <c r="F19" s="307" t="s">
        <v>178</v>
      </c>
      <c r="G19" s="79">
        <f>SUMIFS(RH!$T:$T,RH!$Q:$Q,$D19,RH!$E:$E,1)</f>
        <v>0</v>
      </c>
      <c r="H19" s="80" t="str">
        <f>IF(G19=0,"",INDEX(Dados_Gerais!$H$36:$H$41,MATCH($F19,Dados_Gerais!$D$36:$D$41,0)))</f>
        <v/>
      </c>
      <c r="I19" s="80" t="str">
        <f t="shared" si="0"/>
        <v/>
      </c>
    </row>
    <row r="20" spans="1:39">
      <c r="C20" s="619"/>
      <c r="D20" s="615" t="s">
        <v>338</v>
      </c>
      <c r="E20" s="615"/>
      <c r="F20" s="307" t="s">
        <v>180</v>
      </c>
      <c r="G20" s="79">
        <f>SUMIFS(RH!$T:$T,RH!$Q:$Q,$D20,RH!$E:$E,1)</f>
        <v>0</v>
      </c>
      <c r="H20" s="80" t="str">
        <f>IF(G20=0,"",INDEX(Dados_Gerais!$H$36:$H$41,MATCH($F20,Dados_Gerais!$D$36:$D$41,0)))</f>
        <v/>
      </c>
      <c r="I20" s="80" t="str">
        <f t="shared" si="0"/>
        <v/>
      </c>
    </row>
    <row r="21" spans="1:39">
      <c r="C21" s="619"/>
      <c r="D21" s="615" t="s">
        <v>339</v>
      </c>
      <c r="E21" s="615"/>
      <c r="F21" s="307" t="s">
        <v>182</v>
      </c>
      <c r="G21" s="79">
        <f>SUMIFS(RH!$T:$T,RH!$Q:$Q,$D21,RH!$E:$E,1)</f>
        <v>0</v>
      </c>
      <c r="H21" s="80" t="str">
        <f>IF(G21=0,"",INDEX(Dados_Gerais!$H$36:$H$41,MATCH($F21,Dados_Gerais!$D$36:$D$41,0)))</f>
        <v/>
      </c>
      <c r="I21" s="80" t="str">
        <f t="shared" si="0"/>
        <v/>
      </c>
    </row>
    <row r="22" spans="1:39">
      <c r="C22" s="618" t="s">
        <v>340</v>
      </c>
      <c r="D22" s="615" t="s">
        <v>341</v>
      </c>
      <c r="E22" s="615"/>
      <c r="F22" s="307" t="s">
        <v>176</v>
      </c>
      <c r="G22" s="79">
        <f>SUMIFS(RH!$T:$T,RH!$Q:$Q,$D22,RH!$E:$E,1)</f>
        <v>0</v>
      </c>
      <c r="H22" s="80" t="str">
        <f>IF(G22=0,"",INDEX(Dados_Gerais!$H$36:$H$41,MATCH($F22,Dados_Gerais!$D$36:$D$41,0)))</f>
        <v/>
      </c>
      <c r="I22" s="80" t="str">
        <f t="shared" si="0"/>
        <v/>
      </c>
    </row>
    <row r="23" spans="1:39">
      <c r="C23" s="618"/>
      <c r="D23" s="615" t="s">
        <v>244</v>
      </c>
      <c r="E23" s="615"/>
      <c r="F23" s="307" t="s">
        <v>178</v>
      </c>
      <c r="G23" s="79">
        <f>SUMIFS(RH!$T:$T,RH!$Q:$Q,$D23,RH!$E:$E,1)</f>
        <v>2</v>
      </c>
      <c r="H23" s="80">
        <f>IF(G23=0,"",INDEX(Dados_Gerais!$H$36:$H$41,MATCH($F23,Dados_Gerais!$D$36:$D$41,0)))</f>
        <v>12900</v>
      </c>
      <c r="I23" s="80">
        <f t="shared" si="0"/>
        <v>25800</v>
      </c>
    </row>
    <row r="24" spans="1:39">
      <c r="C24" s="618"/>
      <c r="D24" s="615" t="s">
        <v>179</v>
      </c>
      <c r="E24" s="615"/>
      <c r="F24" s="307" t="s">
        <v>180</v>
      </c>
      <c r="G24" s="79">
        <f>SUMIFS(RH!$T:$T,RH!$Q:$Q,$D24,RH!$E:$E,1)</f>
        <v>2.25</v>
      </c>
      <c r="H24" s="80">
        <f>IF(G24=0,"",INDEX(Dados_Gerais!$H$36:$H$41,MATCH($F24,Dados_Gerais!$D$36:$D$41,0)))</f>
        <v>10600</v>
      </c>
      <c r="I24" s="80">
        <f t="shared" si="0"/>
        <v>23850</v>
      </c>
    </row>
    <row r="25" spans="1:39">
      <c r="C25" s="618"/>
      <c r="D25" s="615" t="s">
        <v>181</v>
      </c>
      <c r="E25" s="615"/>
      <c r="F25" s="307" t="s">
        <v>182</v>
      </c>
      <c r="G25" s="79">
        <f>SUMIFS(RH!$T:$T,RH!$Q:$Q,$D25,RH!$E:$E,1)</f>
        <v>4.5</v>
      </c>
      <c r="H25" s="80">
        <f>IF(G25=0,"",INDEX(Dados_Gerais!$H$36:$H$41,MATCH($F25,Dados_Gerais!$D$36:$D$41,0)))</f>
        <v>8700</v>
      </c>
      <c r="I25" s="80">
        <f t="shared" si="0"/>
        <v>39150</v>
      </c>
    </row>
    <row r="26" spans="1:39">
      <c r="C26" s="618"/>
      <c r="D26" s="615" t="s">
        <v>183</v>
      </c>
      <c r="E26" s="615"/>
      <c r="F26" s="307" t="s">
        <v>184</v>
      </c>
      <c r="G26" s="79">
        <f>SUMIFS(RH!$T:$T,RH!$Q:$Q,$D26,RH!$E:$E,1)</f>
        <v>0</v>
      </c>
      <c r="H26" s="80" t="str">
        <f>IF(G26=0,"",INDEX(Dados_Gerais!$H$36:$H$41,MATCH($F26,Dados_Gerais!$D$36:$D$41,0)))</f>
        <v/>
      </c>
      <c r="I26" s="80" t="str">
        <f t="shared" si="0"/>
        <v/>
      </c>
    </row>
    <row r="27" spans="1:39">
      <c r="C27" s="618"/>
      <c r="D27" s="615" t="s">
        <v>185</v>
      </c>
      <c r="E27" s="615"/>
      <c r="F27" s="307" t="s">
        <v>186</v>
      </c>
      <c r="G27" s="79">
        <f>SUMIFS(RH!$T:$T,RH!$Q:$Q,$D27,RH!$E:$E,1)</f>
        <v>0</v>
      </c>
      <c r="H27" s="80" t="str">
        <f>IF(G27=0,"",INDEX(Dados_Gerais!$H$36:$H$41,MATCH($F27,Dados_Gerais!$D$36:$D$41,0)))</f>
        <v/>
      </c>
      <c r="I27" s="80" t="str">
        <f t="shared" si="0"/>
        <v/>
      </c>
    </row>
    <row r="28" spans="1:39" customFormat="1" ht="8.1" customHeight="1">
      <c r="A28" s="341"/>
      <c r="B28" s="46"/>
      <c r="C28" s="55"/>
      <c r="E28" s="96"/>
      <c r="F28" s="274"/>
      <c r="I28" s="272"/>
      <c r="J28" s="501"/>
      <c r="K28" s="300"/>
      <c r="L28" s="454"/>
      <c r="M28" s="273"/>
      <c r="N28" s="273"/>
      <c r="O28" s="273"/>
      <c r="P28" s="273"/>
      <c r="Q28" s="65"/>
      <c r="R28" s="272"/>
      <c r="S28" s="273"/>
      <c r="T28" s="273"/>
      <c r="V28" s="280"/>
      <c r="AC28" s="96"/>
      <c r="AE28" s="60"/>
      <c r="AF28" s="60"/>
      <c r="AG28" s="60"/>
      <c r="AH28" s="60"/>
      <c r="AI28" s="63"/>
      <c r="AM28" s="46"/>
    </row>
    <row r="29" spans="1:39" ht="24" customHeight="1">
      <c r="F29" s="279" t="s">
        <v>342</v>
      </c>
      <c r="G29" s="66">
        <f>+SUM(G18:G27)</f>
        <v>10.75</v>
      </c>
      <c r="H29" s="98"/>
      <c r="I29" s="343">
        <f>+SUM(I18:I27)</f>
        <v>120200</v>
      </c>
      <c r="K29" s="43" t="str">
        <f>IF(ABS(RH!$Z$65-$I29)&lt;2,"V","Erro")</f>
        <v>V</v>
      </c>
      <c r="L29" s="450" t="str">
        <f>IF($K29="V","",RH!$Z$65-$I29)</f>
        <v/>
      </c>
    </row>
    <row r="30" spans="1:39" ht="13.5" customHeight="1">
      <c r="A30" s="50"/>
      <c r="B30" s="3"/>
      <c r="G30" s="197"/>
      <c r="H30" s="210"/>
      <c r="M30" s="5"/>
    </row>
    <row r="31" spans="1:39" ht="30" customHeight="1">
      <c r="C31" s="556" t="s">
        <v>343</v>
      </c>
      <c r="D31" s="556"/>
      <c r="E31" s="556"/>
      <c r="F31" s="556"/>
      <c r="G31" s="556"/>
      <c r="H31" s="556"/>
      <c r="I31" s="556"/>
      <c r="K31" s="15"/>
    </row>
    <row r="32" spans="1:39" s="22" customFormat="1" ht="18" customHeight="1">
      <c r="A32" s="339"/>
      <c r="C32" s="566" t="s">
        <v>285</v>
      </c>
      <c r="D32" s="610" t="s">
        <v>89</v>
      </c>
      <c r="E32" s="610"/>
      <c r="F32" s="610"/>
      <c r="G32" s="610"/>
      <c r="H32" s="610"/>
      <c r="I32" s="610" t="s">
        <v>59</v>
      </c>
      <c r="J32" s="501"/>
      <c r="K32" s="298"/>
      <c r="L32" s="453"/>
    </row>
    <row r="33" spans="1:39" s="22" customFormat="1" ht="18" customHeight="1">
      <c r="A33" s="339"/>
      <c r="C33" s="609"/>
      <c r="D33" s="611"/>
      <c r="E33" s="611"/>
      <c r="F33" s="611"/>
      <c r="G33" s="611"/>
      <c r="H33" s="611"/>
      <c r="I33" s="611"/>
      <c r="J33" s="501"/>
      <c r="K33" s="298"/>
      <c r="L33" s="453"/>
    </row>
    <row r="34" spans="1:39" ht="15.95" customHeight="1">
      <c r="A34" s="342" t="str">
        <f t="shared" ref="A34:A41" si="1">"C-"&amp;TEXT(ROW()-ROW($A$33),"00")</f>
        <v>C-01</v>
      </c>
      <c r="B34" s="55" t="str">
        <f ca="1">IFERROR(INDEX(OCD!$A:$A,MATCH($A34,OCD!$E:$E,0)),"")</f>
        <v/>
      </c>
      <c r="C34" s="220" t="str">
        <f ca="1">IFERROR(INDEX(OCD!$A:$P,MATCH($A34,OCD!$E:$E,0),MATCH("Rubrica",OCD!$6:$6,0)),"")</f>
        <v/>
      </c>
      <c r="D34" s="617" t="str">
        <f ca="1">IFERROR(INDEX(OCD!$A:$P,MATCH($A34,OCD!$E:$E,0),MATCH("Obs",OCD!$6:$6,0)),"")</f>
        <v/>
      </c>
      <c r="E34" s="617"/>
      <c r="F34" s="617"/>
      <c r="G34" s="617"/>
      <c r="H34" s="617"/>
      <c r="I34" s="80" t="str">
        <f ca="1">IFERROR(INDEX(OCD!$A:$P,MATCH($A34,OCD!$E:$E,0),MATCH("Valor",OCD!$6:$6,0)),"")</f>
        <v/>
      </c>
      <c r="K34" s="300"/>
      <c r="L34" s="454"/>
      <c r="M34"/>
      <c r="N34"/>
      <c r="O34"/>
    </row>
    <row r="35" spans="1:39" ht="15.95" customHeight="1">
      <c r="A35" s="342" t="str">
        <f t="shared" si="1"/>
        <v>C-02</v>
      </c>
      <c r="B35" s="55" t="str">
        <f ca="1">IFERROR(INDEX(OCD!$A:$A,MATCH($A35,OCD!$E:$E,0)),"")</f>
        <v/>
      </c>
      <c r="C35" s="220" t="str">
        <f ca="1">IFERROR(INDEX(OCD!$A:$P,MATCH($A35,OCD!$E:$E,0),MATCH("Rubrica",OCD!$6:$6,0)),"")</f>
        <v/>
      </c>
      <c r="D35" s="617" t="str">
        <f ca="1">IFERROR(INDEX(OCD!$A:$P,MATCH($A35,OCD!$E:$E,0),MATCH("Obs",OCD!$6:$6,0)),"")</f>
        <v/>
      </c>
      <c r="E35" s="617"/>
      <c r="F35" s="617"/>
      <c r="G35" s="617"/>
      <c r="H35" s="617"/>
      <c r="I35" s="80" t="str">
        <f ca="1">IFERROR(INDEX(OCD!$A:$P,MATCH($A35,OCD!$E:$E,0),MATCH("Valor",OCD!$6:$6,0)),"")</f>
        <v/>
      </c>
      <c r="K35" s="300"/>
      <c r="L35" s="454"/>
      <c r="M35"/>
      <c r="N35"/>
      <c r="O35"/>
    </row>
    <row r="36" spans="1:39" ht="15.95" customHeight="1">
      <c r="A36" s="342" t="str">
        <f t="shared" si="1"/>
        <v>C-03</v>
      </c>
      <c r="B36" s="55" t="str">
        <f ca="1">IFERROR(INDEX(OCD!$A:$A,MATCH($A36,OCD!$E:$E,0)),"")</f>
        <v/>
      </c>
      <c r="C36" s="220" t="str">
        <f ca="1">IFERROR(INDEX(OCD!$A:$P,MATCH($A36,OCD!$E:$E,0),MATCH("Rubrica",OCD!$6:$6,0)),"")</f>
        <v/>
      </c>
      <c r="D36" s="617" t="str">
        <f ca="1">IFERROR(INDEX(OCD!$A:$P,MATCH($A36,OCD!$E:$E,0),MATCH("Obs",OCD!$6:$6,0)),"")</f>
        <v/>
      </c>
      <c r="E36" s="617"/>
      <c r="F36" s="617"/>
      <c r="G36" s="617"/>
      <c r="H36" s="617"/>
      <c r="I36" s="80" t="str">
        <f ca="1">IFERROR(INDEX(OCD!$A:$P,MATCH($A36,OCD!$E:$E,0),MATCH("Valor",OCD!$6:$6,0)),"")</f>
        <v/>
      </c>
      <c r="K36" s="300"/>
      <c r="L36" s="454"/>
      <c r="M36"/>
      <c r="N36"/>
      <c r="O36"/>
    </row>
    <row r="37" spans="1:39" ht="15.95" customHeight="1">
      <c r="A37" s="342" t="str">
        <f t="shared" si="1"/>
        <v>C-04</v>
      </c>
      <c r="B37" s="55" t="str">
        <f ca="1">IFERROR(INDEX(OCD!$A:$A,MATCH($A37,OCD!$E:$E,0)),"")</f>
        <v/>
      </c>
      <c r="C37" s="220" t="str">
        <f ca="1">IFERROR(INDEX(OCD!$A:$P,MATCH($A37,OCD!$E:$E,0),MATCH("Rubrica",OCD!$6:$6,0)),"")</f>
        <v/>
      </c>
      <c r="D37" s="617" t="str">
        <f ca="1">IFERROR(INDEX(OCD!$A:$P,MATCH($A37,OCD!$E:$E,0),MATCH("Obs",OCD!$6:$6,0)),"")</f>
        <v/>
      </c>
      <c r="E37" s="617"/>
      <c r="F37" s="617"/>
      <c r="G37" s="617"/>
      <c r="H37" s="617"/>
      <c r="I37" s="80" t="str">
        <f ca="1">IFERROR(INDEX(OCD!$A:$P,MATCH($A37,OCD!$E:$E,0),MATCH("Valor",OCD!$6:$6,0)),"")</f>
        <v/>
      </c>
      <c r="K37" s="300"/>
      <c r="L37" s="454"/>
      <c r="M37"/>
      <c r="N37"/>
      <c r="O37"/>
    </row>
    <row r="38" spans="1:39" ht="15.95" customHeight="1">
      <c r="A38" s="342" t="str">
        <f t="shared" si="1"/>
        <v>C-05</v>
      </c>
      <c r="B38" s="55" t="str">
        <f ca="1">IFERROR(INDEX(OCD!$A:$A,MATCH($A38,OCD!$E:$E,0)),"")</f>
        <v/>
      </c>
      <c r="C38" s="220" t="str">
        <f ca="1">IFERROR(INDEX(OCD!$A:$P,MATCH($A38,OCD!$E:$E,0),MATCH("Rubrica",OCD!$6:$6,0)),"")</f>
        <v/>
      </c>
      <c r="D38" s="617" t="str">
        <f ca="1">IFERROR(INDEX(OCD!$A:$P,MATCH($A38,OCD!$E:$E,0),MATCH("Obs",OCD!$6:$6,0)),"")</f>
        <v/>
      </c>
      <c r="E38" s="617"/>
      <c r="F38" s="617"/>
      <c r="G38" s="617"/>
      <c r="H38" s="617"/>
      <c r="I38" s="80" t="str">
        <f ca="1">IFERROR(INDEX(OCD!$A:$P,MATCH($A38,OCD!$E:$E,0),MATCH("Valor",OCD!$6:$6,0)),"")</f>
        <v/>
      </c>
      <c r="K38" s="300"/>
      <c r="L38" s="454"/>
      <c r="M38"/>
      <c r="N38"/>
      <c r="O38"/>
    </row>
    <row r="39" spans="1:39" ht="15.95" customHeight="1">
      <c r="A39" s="342" t="str">
        <f t="shared" si="1"/>
        <v>C-06</v>
      </c>
      <c r="B39" s="55" t="str">
        <f ca="1">IFERROR(INDEX(OCD!$A:$A,MATCH($A39,OCD!$E:$E,0)),"")</f>
        <v/>
      </c>
      <c r="C39" s="220" t="str">
        <f ca="1">IFERROR(INDEX(OCD!$A:$P,MATCH($A39,OCD!$E:$E,0),MATCH("Rubrica",OCD!$6:$6,0)),"")</f>
        <v/>
      </c>
      <c r="D39" s="617" t="str">
        <f ca="1">IFERROR(INDEX(OCD!$A:$P,MATCH($A39,OCD!$E:$E,0),MATCH("Obs",OCD!$6:$6,0)),"")</f>
        <v/>
      </c>
      <c r="E39" s="617"/>
      <c r="F39" s="617"/>
      <c r="G39" s="617"/>
      <c r="H39" s="617"/>
      <c r="I39" s="80" t="str">
        <f ca="1">IFERROR(INDEX(OCD!$A:$P,MATCH($A39,OCD!$E:$E,0),MATCH("Valor",OCD!$6:$6,0)),"")</f>
        <v/>
      </c>
      <c r="K39" s="300"/>
      <c r="L39" s="454"/>
      <c r="M39"/>
      <c r="N39"/>
      <c r="O39"/>
    </row>
    <row r="40" spans="1:39" ht="15.95" customHeight="1">
      <c r="A40" s="342" t="str">
        <f t="shared" si="1"/>
        <v>C-07</v>
      </c>
      <c r="B40" s="55" t="str">
        <f ca="1">IFERROR(INDEX(OCD!$A:$A,MATCH($A40,OCD!$E:$E,0)),"")</f>
        <v/>
      </c>
      <c r="C40" s="220" t="str">
        <f ca="1">IFERROR(INDEX(OCD!$A:$P,MATCH($A40,OCD!$E:$E,0),MATCH("Rubrica",OCD!$6:$6,0)),"")</f>
        <v/>
      </c>
      <c r="D40" s="617" t="str">
        <f ca="1">IFERROR(INDEX(OCD!$A:$P,MATCH($A40,OCD!$E:$E,0),MATCH("Obs",OCD!$6:$6,0)),"")</f>
        <v/>
      </c>
      <c r="E40" s="617"/>
      <c r="F40" s="617"/>
      <c r="G40" s="617"/>
      <c r="H40" s="617"/>
      <c r="I40" s="80" t="str">
        <f ca="1">IFERROR(INDEX(OCD!$A:$P,MATCH($A40,OCD!$E:$E,0),MATCH("Valor",OCD!$6:$6,0)),"")</f>
        <v/>
      </c>
      <c r="K40" s="300"/>
      <c r="L40" s="454"/>
      <c r="M40"/>
      <c r="N40"/>
      <c r="O40"/>
    </row>
    <row r="41" spans="1:39" ht="15.95" customHeight="1">
      <c r="A41" s="342" t="str">
        <f t="shared" si="1"/>
        <v>C-08</v>
      </c>
      <c r="B41" s="55" t="str">
        <f ca="1">IFERROR(INDEX(OCD!$A:$A,MATCH($A41,OCD!$E:$E,0)),"")</f>
        <v/>
      </c>
      <c r="C41" s="220" t="str">
        <f ca="1">IFERROR(INDEX(OCD!$A:$P,MATCH($A41,OCD!$E:$E,0),MATCH("Rubrica",OCD!$6:$6,0)),"")</f>
        <v/>
      </c>
      <c r="D41" s="617" t="str">
        <f ca="1">IFERROR(INDEX(OCD!$A:$P,MATCH($A41,OCD!$E:$E,0),MATCH("Obs",OCD!$6:$6,0)),"")</f>
        <v/>
      </c>
      <c r="E41" s="617"/>
      <c r="F41" s="617"/>
      <c r="G41" s="617"/>
      <c r="H41" s="617"/>
      <c r="I41" s="80" t="str">
        <f ca="1">IFERROR(INDEX(OCD!$A:$P,MATCH($A41,OCD!$E:$E,0),MATCH("Valor",OCD!$6:$6,0)),"")</f>
        <v/>
      </c>
      <c r="K41" s="300"/>
      <c r="L41" s="454"/>
      <c r="M41"/>
      <c r="N41"/>
      <c r="O41"/>
    </row>
    <row r="42" spans="1:39" customFormat="1" ht="8.1" customHeight="1">
      <c r="A42" s="341"/>
      <c r="B42" s="46"/>
      <c r="C42" s="55"/>
      <c r="E42" s="96"/>
      <c r="F42" s="274"/>
      <c r="J42" s="501"/>
      <c r="K42" s="300"/>
      <c r="L42" s="454"/>
      <c r="M42" s="273"/>
      <c r="N42" s="273"/>
      <c r="O42" s="273"/>
      <c r="P42" s="273"/>
      <c r="Q42" s="65"/>
      <c r="R42" s="272"/>
      <c r="S42" s="273"/>
      <c r="T42" s="273"/>
      <c r="V42" s="280"/>
      <c r="AC42" s="96"/>
      <c r="AE42" s="60"/>
      <c r="AF42" s="60"/>
      <c r="AG42" s="60"/>
      <c r="AH42" s="60"/>
      <c r="AI42" s="63"/>
      <c r="AM42" s="46"/>
    </row>
    <row r="43" spans="1:39" ht="24" customHeight="1">
      <c r="H43" s="279" t="s">
        <v>344</v>
      </c>
      <c r="I43" s="343">
        <f ca="1">+SUM(I34:I41)</f>
        <v>0</v>
      </c>
      <c r="K43" s="43" t="str">
        <f ca="1">IF(ABS(OCO_IMP+INV_IMP-$I43)&lt;2,"V","Erro")</f>
        <v>V</v>
      </c>
      <c r="L43" s="450" t="str">
        <f ca="1">IF($K43="V","",OCO_IMP+INV_IMP-$I43)</f>
        <v/>
      </c>
    </row>
    <row r="44" spans="1:39" ht="13.5" customHeight="1">
      <c r="A44" s="50"/>
      <c r="B44" s="3"/>
      <c r="G44" s="197"/>
      <c r="H44" s="210"/>
      <c r="M44" s="5"/>
    </row>
    <row r="45" spans="1:39" ht="30" customHeight="1">
      <c r="C45" s="556" t="s">
        <v>345</v>
      </c>
      <c r="D45" s="556"/>
      <c r="E45" s="556"/>
      <c r="F45" s="556"/>
      <c r="G45" s="556"/>
      <c r="H45" s="556"/>
      <c r="I45" s="556"/>
      <c r="K45" s="50"/>
    </row>
    <row r="46" spans="1:39" s="22" customFormat="1" ht="18" customHeight="1">
      <c r="A46" s="339"/>
      <c r="C46" s="566" t="s">
        <v>316</v>
      </c>
      <c r="D46" s="610" t="s">
        <v>89</v>
      </c>
      <c r="E46" s="610"/>
      <c r="F46" s="610"/>
      <c r="G46" s="610"/>
      <c r="H46" s="610"/>
      <c r="I46" s="610" t="s">
        <v>59</v>
      </c>
      <c r="J46" s="501"/>
      <c r="K46" s="298"/>
      <c r="L46" s="453"/>
    </row>
    <row r="47" spans="1:39" s="22" customFormat="1" ht="18" customHeight="1">
      <c r="A47" s="339"/>
      <c r="C47" s="609"/>
      <c r="D47" s="611"/>
      <c r="E47" s="611"/>
      <c r="F47" s="611"/>
      <c r="G47" s="611"/>
      <c r="H47" s="611"/>
      <c r="I47" s="611"/>
      <c r="J47" s="501"/>
      <c r="K47" s="298"/>
      <c r="L47" s="453"/>
    </row>
    <row r="48" spans="1:39" ht="15.95" customHeight="1">
      <c r="A48" s="342" t="str">
        <f t="shared" ref="A48:A53" si="2">"V-"&amp;TEXT(ROW()-ROW($A$47),"00")</f>
        <v>V-01</v>
      </c>
      <c r="B48" s="55" t="str">
        <f ca="1">IFERROR(INDEX(VAL!$A:$A,MATCH($A48,VAL!$E:$E,0)),"")</f>
        <v/>
      </c>
      <c r="C48" s="220" t="str">
        <f ca="1">IFERROR(INDEX(VAL!$A:$P,MATCH($A48,VAL!$E:$E,0),MATCH("Tipo_Ativo",VAL!$6:$6,0)),"")</f>
        <v/>
      </c>
      <c r="D48" s="612" t="str">
        <f ca="1">IFERROR(INDEX(VAL!$A:$P,MATCH($A48,VAL!$E:$E,0),MATCH("Obs",VAL!$6:$6,0)),"")</f>
        <v/>
      </c>
      <c r="E48" s="613"/>
      <c r="F48" s="613"/>
      <c r="G48" s="613"/>
      <c r="H48" s="614"/>
      <c r="I48" s="80" t="str">
        <f ca="1">IFERROR(INDEX(VAL!$A:$P,MATCH($A48,VAL!$E:$E,0),MATCH("Valor",VAL!$6:$6,0)),"")</f>
        <v/>
      </c>
      <c r="K48" s="299"/>
      <c r="M48" s="99"/>
    </row>
    <row r="49" spans="1:39" ht="15.95" customHeight="1">
      <c r="A49" s="342" t="str">
        <f t="shared" si="2"/>
        <v>V-02</v>
      </c>
      <c r="B49" s="55" t="str">
        <f ca="1">IFERROR(INDEX(VAL!$A:$A,MATCH($A49,VAL!$E:$E,0)),"")</f>
        <v/>
      </c>
      <c r="C49" s="220" t="str">
        <f ca="1">IFERROR(INDEX(VAL!$A:$P,MATCH($A49,VAL!$E:$E,0),MATCH("Tipo_Ativo",VAL!$6:$6,0)),"")</f>
        <v/>
      </c>
      <c r="D49" s="612" t="str">
        <f ca="1">IFERROR(INDEX(VAL!$A:$P,MATCH($A49,VAL!$E:$E,0),MATCH("Obs",VAL!$6:$6,0)),"")</f>
        <v/>
      </c>
      <c r="E49" s="613"/>
      <c r="F49" s="613"/>
      <c r="G49" s="613"/>
      <c r="H49" s="614"/>
      <c r="I49" s="80" t="str">
        <f ca="1">IFERROR(INDEX(VAL!$A:$P,MATCH($A49,VAL!$E:$E,0),MATCH("Valor",VAL!$6:$6,0)),"")</f>
        <v/>
      </c>
      <c r="K49" s="299"/>
    </row>
    <row r="50" spans="1:39" ht="15.95" customHeight="1">
      <c r="A50" s="342" t="str">
        <f t="shared" si="2"/>
        <v>V-03</v>
      </c>
      <c r="B50" s="55" t="str">
        <f ca="1">IFERROR(INDEX(VAL!$A:$A,MATCH($A50,VAL!$E:$E,0)),"")</f>
        <v/>
      </c>
      <c r="C50" s="220" t="str">
        <f ca="1">IFERROR(INDEX(VAL!$A:$P,MATCH($A50,VAL!$E:$E,0),MATCH("Tipo_Ativo",VAL!$6:$6,0)),"")</f>
        <v/>
      </c>
      <c r="D50" s="612" t="str">
        <f ca="1">IFERROR(INDEX(VAL!$A:$P,MATCH($A50,VAL!$E:$E,0),MATCH("Obs",VAL!$6:$6,0)),"")</f>
        <v/>
      </c>
      <c r="E50" s="613"/>
      <c r="F50" s="613"/>
      <c r="G50" s="613"/>
      <c r="H50" s="614"/>
      <c r="I50" s="80" t="str">
        <f ca="1">IFERROR(INDEX(VAL!$A:$P,MATCH($A50,VAL!$E:$E,0),MATCH("Valor",VAL!$6:$6,0)),"")</f>
        <v/>
      </c>
      <c r="K50" s="299"/>
      <c r="M50" s="99"/>
    </row>
    <row r="51" spans="1:39" ht="15.95" customHeight="1">
      <c r="A51" s="342" t="str">
        <f t="shared" si="2"/>
        <v>V-04</v>
      </c>
      <c r="B51" s="55" t="str">
        <f ca="1">IFERROR(INDEX(VAL!$A:$A,MATCH($A51,VAL!$E:$E,0)),"")</f>
        <v/>
      </c>
      <c r="C51" s="220" t="str">
        <f ca="1">IFERROR(INDEX(VAL!$A:$P,MATCH($A51,VAL!$E:$E,0),MATCH("Tipo_Ativo",VAL!$6:$6,0)),"")</f>
        <v/>
      </c>
      <c r="D51" s="612" t="str">
        <f ca="1">IFERROR(INDEX(VAL!$A:$P,MATCH($A51,VAL!$E:$E,0),MATCH("Obs",VAL!$6:$6,0)),"")</f>
        <v/>
      </c>
      <c r="E51" s="613"/>
      <c r="F51" s="613"/>
      <c r="G51" s="613"/>
      <c r="H51" s="614"/>
      <c r="I51" s="80" t="str">
        <f ca="1">IFERROR(INDEX(VAL!$A:$P,MATCH($A51,VAL!$E:$E,0),MATCH("Valor",VAL!$6:$6,0)),"")</f>
        <v/>
      </c>
      <c r="K51" s="299"/>
      <c r="M51" s="99"/>
    </row>
    <row r="52" spans="1:39" ht="15.95" customHeight="1">
      <c r="A52" s="342" t="str">
        <f t="shared" si="2"/>
        <v>V-05</v>
      </c>
      <c r="B52" s="55" t="str">
        <f ca="1">IFERROR(INDEX(VAL!$A:$A,MATCH($A52,VAL!$E:$E,0)),"")</f>
        <v/>
      </c>
      <c r="C52" s="220" t="str">
        <f ca="1">IFERROR(INDEX(VAL!$A:$P,MATCH($A52,VAL!$E:$E,0),MATCH("Tipo_Ativo",VAL!$6:$6,0)),"")</f>
        <v/>
      </c>
      <c r="D52" s="612" t="str">
        <f ca="1">IFERROR(INDEX(VAL!$A:$P,MATCH($A52,VAL!$E:$E,0),MATCH("Obs",VAL!$6:$6,0)),"")</f>
        <v/>
      </c>
      <c r="E52" s="613"/>
      <c r="F52" s="613"/>
      <c r="G52" s="613"/>
      <c r="H52" s="614"/>
      <c r="I52" s="80" t="str">
        <f ca="1">IFERROR(INDEX(VAL!$A:$P,MATCH($A52,VAL!$E:$E,0),MATCH("Valor",VAL!$6:$6,0)),"")</f>
        <v/>
      </c>
      <c r="K52" s="299"/>
      <c r="M52" s="99"/>
    </row>
    <row r="53" spans="1:39" ht="15.95" customHeight="1">
      <c r="A53" s="342" t="str">
        <f t="shared" si="2"/>
        <v>V-06</v>
      </c>
      <c r="B53" s="55" t="str">
        <f ca="1">IFERROR(INDEX(VAL!$A:$A,MATCH($A53,VAL!$E:$E,0)),"")</f>
        <v/>
      </c>
      <c r="C53" s="220" t="str">
        <f ca="1">IFERROR(INDEX(VAL!$A:$P,MATCH($A53,VAL!$E:$E,0),MATCH("Tipo_Ativo",VAL!$6:$6,0)),"")</f>
        <v/>
      </c>
      <c r="D53" s="612" t="str">
        <f ca="1">IFERROR(INDEX(VAL!$A:$P,MATCH($A53,VAL!$E:$E,0),MATCH("Obs",VAL!$6:$6,0)),"")</f>
        <v/>
      </c>
      <c r="E53" s="613"/>
      <c r="F53" s="613"/>
      <c r="G53" s="613"/>
      <c r="H53" s="614"/>
      <c r="I53" s="80" t="str">
        <f ca="1">IFERROR(INDEX(VAL!$A:$P,MATCH($A53,VAL!$E:$E,0),MATCH("Valor",VAL!$6:$6,0)),"")</f>
        <v/>
      </c>
      <c r="K53" s="299"/>
    </row>
    <row r="54" spans="1:39" customFormat="1" ht="8.1" customHeight="1">
      <c r="A54" s="341"/>
      <c r="B54" s="46"/>
      <c r="C54" s="55"/>
      <c r="E54" s="96"/>
      <c r="F54" s="274"/>
      <c r="I54" s="272"/>
      <c r="J54" s="501"/>
      <c r="K54" s="300"/>
      <c r="L54" s="454"/>
      <c r="M54" s="273"/>
      <c r="N54" s="273"/>
      <c r="O54" s="273"/>
      <c r="P54" s="273"/>
      <c r="Q54" s="65"/>
      <c r="R54" s="272"/>
      <c r="S54" s="273"/>
      <c r="T54" s="273"/>
      <c r="V54" s="280"/>
      <c r="AC54" s="96"/>
      <c r="AE54" s="60"/>
      <c r="AF54" s="60"/>
      <c r="AG54" s="60"/>
      <c r="AH54" s="60"/>
      <c r="AI54" s="63"/>
      <c r="AM54" s="46"/>
    </row>
    <row r="55" spans="1:39" ht="24" customHeight="1">
      <c r="H55" s="279" t="s">
        <v>346</v>
      </c>
      <c r="I55" s="343">
        <f ca="1">+SUM(I48:I53)</f>
        <v>0</v>
      </c>
      <c r="K55" s="43" t="str">
        <f ca="1">IF(ABS(VAL_RES_IMP+VAL_LAB_IMP-$I55)&lt;2,"V","Erro")</f>
        <v>V</v>
      </c>
      <c r="L55" s="450" t="str">
        <f ca="1">IF($K55="V","",VAL_RES_IMP+VAL_LAB_IMP-$I55)</f>
        <v/>
      </c>
    </row>
    <row r="56" spans="1:39" ht="13.5" customHeight="1">
      <c r="A56" s="50"/>
      <c r="B56" s="3"/>
      <c r="G56" s="197"/>
      <c r="H56" s="210"/>
      <c r="M56" s="5"/>
    </row>
    <row r="57" spans="1:39" ht="24" customHeight="1">
      <c r="E57"/>
      <c r="F57"/>
      <c r="H57" s="24" t="s">
        <v>347</v>
      </c>
      <c r="I57" s="343">
        <f ca="1">I29+I43+I55</f>
        <v>120200</v>
      </c>
      <c r="K57" s="300"/>
    </row>
    <row r="58" spans="1:39" ht="13.5" customHeight="1">
      <c r="A58" s="50"/>
      <c r="B58" s="3"/>
      <c r="G58" s="197"/>
      <c r="H58" s="210"/>
      <c r="M58" s="5"/>
    </row>
    <row r="59" spans="1:39" ht="24" customHeight="1">
      <c r="E59"/>
      <c r="F59"/>
      <c r="H59" s="24" t="s">
        <v>348</v>
      </c>
      <c r="I59" s="456">
        <v>119954</v>
      </c>
      <c r="K59" s="300"/>
    </row>
    <row r="60" spans="1:39" s="181" customFormat="1" ht="15.95" customHeight="1">
      <c r="A60" s="86"/>
      <c r="B60" s="55"/>
      <c r="C60" s="55"/>
      <c r="J60" s="501"/>
      <c r="K60" s="247"/>
      <c r="L60" s="432"/>
      <c r="N60" s="43"/>
      <c r="O60" s="43"/>
      <c r="P60" s="43"/>
      <c r="Q60" s="43"/>
      <c r="R60" s="43"/>
      <c r="S60" s="43"/>
    </row>
    <row r="61" spans="1:39" s="4" customFormat="1" ht="20.100000000000001" customHeight="1">
      <c r="A61" s="86"/>
      <c r="B61" s="55"/>
      <c r="C61" s="234" t="s">
        <v>187</v>
      </c>
      <c r="E61" s="25"/>
      <c r="F61" s="24"/>
      <c r="I61" s="24"/>
      <c r="J61" s="501"/>
      <c r="K61" s="196"/>
      <c r="L61" s="432"/>
      <c r="N61" s="101"/>
      <c r="O61" s="101"/>
      <c r="P61" s="101"/>
      <c r="Q61" s="101"/>
      <c r="R61" s="101"/>
      <c r="S61" s="101"/>
    </row>
    <row r="62" spans="1:39" ht="79.5" customHeight="1">
      <c r="C62" s="606"/>
      <c r="D62" s="606"/>
      <c r="E62" s="606"/>
      <c r="F62" s="606"/>
      <c r="G62" s="606"/>
      <c r="H62" s="606"/>
      <c r="I62" s="606"/>
      <c r="K62" s="304"/>
      <c r="L62" s="432"/>
      <c r="N62" s="5"/>
      <c r="O62" s="5"/>
      <c r="P62" s="5"/>
      <c r="Q62" s="5"/>
      <c r="R62" s="5"/>
      <c r="S62" s="5"/>
    </row>
    <row r="63" spans="1:39" s="197" customFormat="1" ht="13.5" hidden="1" customHeight="1">
      <c r="A63" s="437"/>
      <c r="B63" s="436"/>
      <c r="C63" s="436"/>
      <c r="D63" s="436"/>
      <c r="E63" s="436"/>
      <c r="F63" s="436"/>
      <c r="G63" s="436"/>
      <c r="H63" s="436"/>
      <c r="I63" s="436"/>
      <c r="J63" s="501" t="str">
        <f t="shared" ref="J63:J82" si="3">IF(no_centros&lt;=1,"X","V")</f>
        <v>X</v>
      </c>
      <c r="K63" s="436"/>
      <c r="L63" s="455"/>
      <c r="M63" s="198"/>
      <c r="O63" s="438"/>
    </row>
    <row r="64" spans="1:39" ht="30" hidden="1" customHeight="1">
      <c r="C64" s="608" t="s">
        <v>349</v>
      </c>
      <c r="D64" s="608"/>
      <c r="E64" s="608"/>
      <c r="F64" s="608"/>
      <c r="G64" s="608"/>
      <c r="H64" s="608"/>
      <c r="I64" s="608"/>
      <c r="J64" s="501" t="str">
        <f t="shared" si="3"/>
        <v>X</v>
      </c>
    </row>
    <row r="65" spans="1:39" ht="18.75" hidden="1" customHeight="1">
      <c r="C65" s="608" t="s">
        <v>350</v>
      </c>
      <c r="D65" s="608"/>
      <c r="E65" s="608"/>
      <c r="F65" s="608"/>
      <c r="G65" s="608"/>
      <c r="H65" s="608"/>
      <c r="I65" s="608"/>
      <c r="J65" s="501" t="str">
        <f t="shared" si="3"/>
        <v>X</v>
      </c>
    </row>
    <row r="66" spans="1:39" s="217" customFormat="1" ht="20.100000000000001" hidden="1" customHeight="1">
      <c r="A66" s="340"/>
      <c r="H66" s="281"/>
      <c r="J66" s="501" t="str">
        <f t="shared" si="3"/>
        <v>X</v>
      </c>
      <c r="K66" s="291"/>
      <c r="L66" s="452"/>
    </row>
    <row r="67" spans="1:39" hidden="1">
      <c r="C67" s="32" t="s">
        <v>351</v>
      </c>
      <c r="D67" s="32" t="s">
        <v>352</v>
      </c>
      <c r="E67" s="38" t="str">
        <f>Centro_Prop</f>
        <v>CESE</v>
      </c>
      <c r="F67" s="38">
        <f>Centro1</f>
        <v>0</v>
      </c>
      <c r="G67" s="38">
        <f>Centro2</f>
        <v>0</v>
      </c>
      <c r="H67" s="38">
        <f>Centro3</f>
        <v>0</v>
      </c>
      <c r="I67" s="38">
        <f>Centro4</f>
        <v>0</v>
      </c>
      <c r="J67" s="501" t="str">
        <f t="shared" si="3"/>
        <v>X</v>
      </c>
      <c r="K67" s="300"/>
    </row>
    <row r="68" spans="1:39" ht="15.95" hidden="1" customHeight="1">
      <c r="C68" s="220" t="s">
        <v>353</v>
      </c>
      <c r="D68" s="36">
        <f>IF(ROUND(SUMIFS(RH!$Z:$Z,RH!$E:$E,1),1)=0,0,    ROUND(SUMIFS(RH!$Z:$Z,RH!$E:$E,1)*(1-OH_Ang_Neg)  -  SUMIFS(OCD!$H:$H,OCD!$I:$I,"Não",OCD!$R:$R,"V")   -   $D$70/(1+OH_Interno)*OH_Interno,1))</f>
        <v>114190</v>
      </c>
      <c r="E68" s="36">
        <f>IF(ROUND(SUMIFS(RH!$Z:$Z,RH!$E:$E,1),1)=0,0,    ROUND($D$68  *  SUMIFS(RH!$Z:$Z,RH!$H:$H,E$67,RH!$E:$E,1)  /  SUMIFS(RH!$Z:$Z,RH!$E:$E,1),1))</f>
        <v>114190</v>
      </c>
      <c r="F68" s="36">
        <f>IF(ROUND(SUMIFS(RH!$Z:$Z,RH!$E:$E,1),1)=0,0,    ROUND($D$68  *  SUMIFS(RH!$Z:$Z,RH!$H:$H,F$67,RH!$E:$E,1)  /  SUMIFS(RH!$Z:$Z,RH!$E:$E,1),1))</f>
        <v>0</v>
      </c>
      <c r="G68" s="36">
        <f>IF(ROUND(SUMIFS(RH!$Z:$Z,RH!$E:$E,1),1)=0,0,    ROUND($D$68  *  SUMIFS(RH!$Z:$Z,RH!$H:$H,G$67,RH!$E:$E,1)  /  SUMIFS(RH!$Z:$Z,RH!$E:$E,1),1))</f>
        <v>0</v>
      </c>
      <c r="H68" s="36">
        <f>IF(ROUND(SUMIFS(RH!$Z:$Z,RH!$E:$E,1),1)=0,0,    ROUND($D$68  *  SUMIFS(RH!$Z:$Z,RH!$H:$H,H$67,RH!$E:$E,1)  /  SUMIFS(RH!$Z:$Z,RH!$E:$E,1),1))</f>
        <v>0</v>
      </c>
      <c r="I68" s="36">
        <f>IF(ROUND(SUMIFS(RH!$Z:$Z,RH!$E:$E,1),1)=0,0,    ROUND($D$68  *  SUMIFS(RH!$Z:$Z,RH!$H:$H,I$67,RH!$E:$E,1)  /  SUMIFS(RH!$Z:$Z,RH!$E:$E,1),1))</f>
        <v>0</v>
      </c>
      <c r="J68" s="501" t="str">
        <f t="shared" si="3"/>
        <v>X</v>
      </c>
      <c r="K68" s="349" t="str">
        <f>IF(ABS($D68-SUM($E$68:$I$68))&lt;2,"V","Erro")</f>
        <v>V</v>
      </c>
      <c r="L68" s="450" t="str">
        <f>IF($K68="V","",$D68-SUM($E$68:$I$68))</f>
        <v/>
      </c>
    </row>
    <row r="69" spans="1:39" ht="15.95" hidden="1" customHeight="1">
      <c r="C69" s="220" t="s">
        <v>354</v>
      </c>
      <c r="D69" s="36">
        <f t="shared" ref="D69:D72" si="4">SUM(E69:I69)</f>
        <v>0</v>
      </c>
      <c r="E69" s="36">
        <f>SUMIFS(OCD!$H:$H,OCD!$G:$G,"Subcontratos",OCD!$F:$F,E$67,OCD!$R:$R,"V")</f>
        <v>0</v>
      </c>
      <c r="F69" s="36">
        <f>SUMIFS(OCD!$H:$H,OCD!$G:$G,"Subcontratos",OCD!$F:$F,F$67,OCD!$R:$R,"V")</f>
        <v>0</v>
      </c>
      <c r="G69" s="36">
        <f>SUMIFS(OCD!$H:$H,OCD!$G:$G,"Subcontratos",OCD!$F:$F,G$67,OCD!$R:$R,"V")</f>
        <v>0</v>
      </c>
      <c r="H69" s="36">
        <f>SUMIFS(OCD!$H:$H,OCD!$G:$G,"Subcontratos",OCD!$F:$F,H$67,OCD!$R:$R,"V")</f>
        <v>0</v>
      </c>
      <c r="I69" s="36">
        <f>SUMIFS(OCD!$H:$H,OCD!$G:$G,"Subcontratos",OCD!$F:$F,I$67,OCD!$R:$R,"V")</f>
        <v>0</v>
      </c>
      <c r="J69" s="501" t="str">
        <f t="shared" si="3"/>
        <v>X</v>
      </c>
    </row>
    <row r="70" spans="1:39" ht="15.95" hidden="1" customHeight="1">
      <c r="C70" s="220" t="s">
        <v>355</v>
      </c>
      <c r="D70" s="36">
        <f t="shared" si="4"/>
        <v>0</v>
      </c>
      <c r="E70" s="36">
        <f>ROUND((SUMIFS(OCD!$H:$H,OCD!$A:$A,"O",OCD!$F:$F,E$67,OCD!$R:$R,"V")  -  E69)*(1+OH_Interno),0)</f>
        <v>0</v>
      </c>
      <c r="F70" s="36">
        <f>ROUND((SUMIFS(OCD!$H:$H,OCD!$A:$A,"O",OCD!$F:$F,F$67,OCD!$R:$R,"V")  -  F69)*(1+OH_Interno),0)</f>
        <v>0</v>
      </c>
      <c r="G70" s="36">
        <f>ROUND((SUMIFS(OCD!$H:$H,OCD!$A:$A,"O",OCD!$F:$F,G$67,OCD!$R:$R,"V")  -  G69)*(1+OH_Interno),0)</f>
        <v>0</v>
      </c>
      <c r="H70" s="36">
        <f>ROUND((SUMIFS(OCD!$H:$H,OCD!$A:$A,"O",OCD!$F:$F,H$67,OCD!$R:$R,"V")  -  H69)*(1+OH_Interno),0)</f>
        <v>0</v>
      </c>
      <c r="I70" s="36">
        <f>ROUND((SUMIFS(OCD!$H:$H,OCD!$A:$A,"O",OCD!$F:$F,I$67,OCD!$R:$R,"V")  -  I69)*(1+OH_Interno),0)</f>
        <v>0</v>
      </c>
      <c r="J70" s="501" t="str">
        <f t="shared" si="3"/>
        <v>X</v>
      </c>
    </row>
    <row r="71" spans="1:39" ht="15.95" hidden="1" customHeight="1">
      <c r="C71" s="220" t="s">
        <v>356</v>
      </c>
      <c r="D71" s="36">
        <f t="shared" si="4"/>
        <v>0</v>
      </c>
      <c r="E71" s="36">
        <f>SUMIFS(OCD!$H:$H,OCD!$A:$A,"I",OCD!$F:$F,E$67,OCD!$R:$R,"V")</f>
        <v>0</v>
      </c>
      <c r="F71" s="36">
        <f>SUMIFS(OCD!$H:$H,OCD!$A:$A,"I",OCD!$F:$F,F$67,OCD!$R:$R,"V")</f>
        <v>0</v>
      </c>
      <c r="G71" s="36">
        <f>SUMIFS(OCD!$H:$H,OCD!$A:$A,"I",OCD!$F:$F,G$67,OCD!$R:$R,"V")</f>
        <v>0</v>
      </c>
      <c r="H71" s="36">
        <f>SUMIFS(OCD!$H:$H,OCD!$A:$A,"I",OCD!$F:$F,H$67,OCD!$R:$R,"V")</f>
        <v>0</v>
      </c>
      <c r="I71" s="36">
        <f>SUMIFS(OCD!$H:$H,OCD!$A:$A,"I",OCD!$F:$F,I$67,OCD!$R:$R,"V")</f>
        <v>0</v>
      </c>
      <c r="J71" s="501" t="str">
        <f t="shared" si="3"/>
        <v>X</v>
      </c>
    </row>
    <row r="72" spans="1:39" ht="15.95" hidden="1" customHeight="1">
      <c r="C72" s="220" t="s">
        <v>357</v>
      </c>
      <c r="D72" s="36">
        <f t="shared" si="4"/>
        <v>0</v>
      </c>
      <c r="E72" s="36">
        <f>SUMIFS(VAL!$H:$H,VAL!$F:$F,E$67,VAL!$I:$I,"Sim",VAL!$R:$R,"V")</f>
        <v>0</v>
      </c>
      <c r="F72" s="36">
        <f>SUMIFS(VAL!$H:$H,VAL!$F:$F,F$67,VAL!$I:$I,"Sim",VAL!$R:$R,"V")</f>
        <v>0</v>
      </c>
      <c r="G72" s="36">
        <f>SUMIFS(VAL!$H:$H,VAL!$F:$F,G$67,VAL!$I:$I,"Sim",VAL!$R:$R,"V")</f>
        <v>0</v>
      </c>
      <c r="H72" s="36">
        <f>SUMIFS(VAL!$H:$H,VAL!$F:$F,H$67,VAL!$I:$I,"Sim",VAL!$R:$R,"V")</f>
        <v>0</v>
      </c>
      <c r="I72" s="36">
        <f>SUMIFS(VAL!$H:$H,VAL!$F:$F,I$67,VAL!$I:$I,"Sim",VAL!$R:$R,"V")</f>
        <v>0</v>
      </c>
      <c r="J72" s="501" t="str">
        <f t="shared" si="3"/>
        <v>X</v>
      </c>
    </row>
    <row r="73" spans="1:39" customFormat="1" ht="8.1" hidden="1" customHeight="1">
      <c r="A73" s="341"/>
      <c r="B73" s="46"/>
      <c r="C73" s="55"/>
      <c r="D73" s="96"/>
      <c r="E73" s="96"/>
      <c r="F73" s="96"/>
      <c r="G73" s="96"/>
      <c r="H73" s="96"/>
      <c r="I73" s="96"/>
      <c r="J73" s="501" t="str">
        <f t="shared" si="3"/>
        <v>X</v>
      </c>
      <c r="K73" s="300"/>
      <c r="L73" s="454"/>
      <c r="M73" s="273"/>
      <c r="N73" s="273"/>
      <c r="O73" s="273"/>
      <c r="P73" s="273"/>
      <c r="Q73" s="65"/>
      <c r="R73" s="272"/>
      <c r="S73" s="273"/>
      <c r="T73" s="273"/>
      <c r="V73" s="280"/>
      <c r="AC73" s="96"/>
      <c r="AE73" s="60"/>
      <c r="AF73" s="60"/>
      <c r="AG73" s="60"/>
      <c r="AH73" s="60"/>
      <c r="AI73" s="63"/>
      <c r="AM73" s="46"/>
    </row>
    <row r="74" spans="1:39" ht="15.95" hidden="1" customHeight="1">
      <c r="C74" s="220" t="s">
        <v>358</v>
      </c>
      <c r="D74" s="36">
        <f>ROUND(SUMIFS(RH!$Z:$Z,RH!$E:$E,1)*OH_Ang_Neg,1)</f>
        <v>6010</v>
      </c>
      <c r="E74" s="36">
        <f>ROUND($D$74*E$75/OH_Ang_Neg,1)</f>
        <v>6010</v>
      </c>
      <c r="F74" s="36">
        <f>ROUND($D$74*F$75/OH_Ang_Neg,1)</f>
        <v>0</v>
      </c>
      <c r="G74" s="36">
        <f>ROUND($D$74*G$75/OH_Ang_Neg,1)</f>
        <v>0</v>
      </c>
      <c r="H74" s="36">
        <f>ROUND($D$74*H$75/OH_Ang_Neg,1)</f>
        <v>0</v>
      </c>
      <c r="I74" s="36">
        <f>ROUND($D$74*I$75/OH_Ang_Neg,1)</f>
        <v>0</v>
      </c>
      <c r="J74" s="501" t="str">
        <f t="shared" si="3"/>
        <v>X</v>
      </c>
      <c r="K74" s="349" t="str">
        <f>IF(ABS($D74-$I$29*OH_Ang_Neg)&lt;2,"V","Erro")</f>
        <v>V</v>
      </c>
      <c r="L74" s="450" t="str">
        <f>IF($K74="V","",$D74-$I$29*OH_Ang_Neg)</f>
        <v/>
      </c>
    </row>
    <row r="75" spans="1:39" ht="15.95" hidden="1" customHeight="1">
      <c r="C75" s="301" t="s">
        <v>359</v>
      </c>
      <c r="D75" s="302">
        <v>0.05</v>
      </c>
      <c r="E75" s="303">
        <f>D75-SUM(F75:I75)</f>
        <v>0.05</v>
      </c>
      <c r="F75" s="296"/>
      <c r="G75" s="296"/>
      <c r="H75" s="296"/>
      <c r="I75" s="296"/>
      <c r="J75" s="501" t="str">
        <f t="shared" si="3"/>
        <v>X</v>
      </c>
      <c r="K75" s="43" t="str">
        <f>IF(E75&gt;=0,"V","Erro")</f>
        <v>V</v>
      </c>
    </row>
    <row r="76" spans="1:39" customFormat="1" ht="8.1" hidden="1" customHeight="1">
      <c r="A76" s="341"/>
      <c r="B76" s="46"/>
      <c r="C76" s="55"/>
      <c r="D76" s="96"/>
      <c r="E76" s="96"/>
      <c r="F76" s="96"/>
      <c r="G76" s="96"/>
      <c r="H76" s="96"/>
      <c r="I76" s="96"/>
      <c r="J76" s="501" t="str">
        <f t="shared" si="3"/>
        <v>X</v>
      </c>
      <c r="K76" s="300"/>
      <c r="L76" s="454"/>
      <c r="M76" s="273"/>
      <c r="N76" s="273"/>
      <c r="O76" s="273"/>
      <c r="P76" s="273"/>
      <c r="Q76" s="65"/>
      <c r="R76" s="272"/>
      <c r="S76" s="273"/>
      <c r="T76" s="273"/>
      <c r="V76" s="280"/>
      <c r="AC76" s="96"/>
      <c r="AE76" s="60"/>
      <c r="AF76" s="60"/>
      <c r="AG76" s="60"/>
      <c r="AH76" s="60"/>
      <c r="AI76" s="63"/>
      <c r="AM76" s="46"/>
    </row>
    <row r="77" spans="1:39" ht="15.95" hidden="1" customHeight="1">
      <c r="C77" s="220" t="s">
        <v>360</v>
      </c>
      <c r="D77" s="36">
        <f ca="1">IF(Preco_Final=0,Preco_Final,Preco_Final-Preco_Sugerido)</f>
        <v>-246</v>
      </c>
      <c r="E77" s="36">
        <f ca="1">IFERROR(ROUND($D$77*E$68/$D$68,1),0)</f>
        <v>-246</v>
      </c>
      <c r="F77" s="36">
        <f t="shared" ref="F77:I77" ca="1" si="5">IFERROR(ROUND($D$77*F$68/$D$68,1),0)</f>
        <v>0</v>
      </c>
      <c r="G77" s="36">
        <f t="shared" ca="1" si="5"/>
        <v>0</v>
      </c>
      <c r="H77" s="36">
        <f t="shared" ca="1" si="5"/>
        <v>0</v>
      </c>
      <c r="I77" s="36">
        <f t="shared" ca="1" si="5"/>
        <v>0</v>
      </c>
      <c r="J77" s="501" t="str">
        <f t="shared" si="3"/>
        <v>X</v>
      </c>
      <c r="K77" s="43"/>
      <c r="L77" s="450" t="s">
        <v>361</v>
      </c>
    </row>
    <row r="78" spans="1:39" customFormat="1" ht="8.1" hidden="1" customHeight="1">
      <c r="A78" s="341"/>
      <c r="B78" s="46"/>
      <c r="C78" s="55"/>
      <c r="D78" s="272"/>
      <c r="E78" s="272"/>
      <c r="F78" s="272"/>
      <c r="G78" s="272"/>
      <c r="H78" s="272"/>
      <c r="I78" s="272"/>
      <c r="J78" s="501" t="str">
        <f t="shared" si="3"/>
        <v>X</v>
      </c>
      <c r="K78" s="300"/>
      <c r="L78" s="454"/>
      <c r="M78" s="273"/>
      <c r="N78" s="273"/>
      <c r="O78" s="273"/>
      <c r="P78" s="273"/>
      <c r="Q78" s="65"/>
      <c r="R78" s="272"/>
      <c r="S78" s="273"/>
      <c r="T78" s="273"/>
      <c r="V78" s="280"/>
      <c r="AC78" s="96"/>
      <c r="AE78" s="60"/>
      <c r="AF78" s="60"/>
      <c r="AG78" s="60"/>
      <c r="AH78" s="60"/>
      <c r="AI78" s="63"/>
      <c r="AM78" s="46"/>
    </row>
    <row r="79" spans="1:39" ht="24" hidden="1" customHeight="1">
      <c r="C79" s="279" t="s">
        <v>362</v>
      </c>
      <c r="D79" s="457">
        <f ca="1">+SUM(D68:D74,D77)</f>
        <v>119954</v>
      </c>
      <c r="E79" s="457">
        <f t="shared" ref="E79:I79" ca="1" si="6">+SUM(E68:E74,E77)</f>
        <v>119954</v>
      </c>
      <c r="F79" s="457">
        <f t="shared" ca="1" si="6"/>
        <v>0</v>
      </c>
      <c r="G79" s="457">
        <f t="shared" ca="1" si="6"/>
        <v>0</v>
      </c>
      <c r="H79" s="457">
        <f t="shared" ca="1" si="6"/>
        <v>0</v>
      </c>
      <c r="I79" s="457">
        <f t="shared" ca="1" si="6"/>
        <v>0</v>
      </c>
      <c r="J79" s="501" t="str">
        <f t="shared" si="3"/>
        <v>X</v>
      </c>
      <c r="K79" s="349" t="str">
        <f ca="1">IF(OR(ABS(Preco_Final-$D$79)&lt;2,ABS(Preco_Sugerido-$D$79)&lt;2),"V","Erro")</f>
        <v>V</v>
      </c>
      <c r="L79" s="450" t="str">
        <f ca="1">IF($K79="V","",IF($I$59=0,Preco_Sugerido-$D$79,$I$59-$D$79))</f>
        <v/>
      </c>
    </row>
    <row r="80" spans="1:39" s="181" customFormat="1" ht="15.95" hidden="1" customHeight="1">
      <c r="A80" s="86"/>
      <c r="B80" s="55"/>
      <c r="C80" s="55"/>
      <c r="J80" s="501" t="str">
        <f t="shared" si="3"/>
        <v>X</v>
      </c>
      <c r="K80" s="247"/>
      <c r="L80" s="432"/>
      <c r="N80" s="43"/>
      <c r="O80" s="43"/>
      <c r="P80" s="43"/>
      <c r="Q80" s="43"/>
      <c r="R80" s="43"/>
      <c r="S80" s="43"/>
    </row>
    <row r="81" spans="1:19" s="4" customFormat="1" ht="20.100000000000001" hidden="1" customHeight="1">
      <c r="A81" s="86"/>
      <c r="B81" s="55"/>
      <c r="C81" s="234" t="s">
        <v>187</v>
      </c>
      <c r="E81" s="25"/>
      <c r="F81" s="24"/>
      <c r="I81" s="24"/>
      <c r="J81" s="501" t="str">
        <f t="shared" si="3"/>
        <v>X</v>
      </c>
      <c r="K81" s="196"/>
      <c r="L81" s="432"/>
      <c r="N81" s="101"/>
      <c r="O81" s="101"/>
      <c r="P81" s="101"/>
      <c r="Q81" s="101"/>
      <c r="R81" s="101"/>
      <c r="S81" s="101"/>
    </row>
    <row r="82" spans="1:19" ht="79.5" hidden="1" customHeight="1">
      <c r="C82" s="606"/>
      <c r="D82" s="606"/>
      <c r="E82" s="606"/>
      <c r="F82" s="606"/>
      <c r="G82" s="606"/>
      <c r="H82" s="606"/>
      <c r="I82" s="606"/>
      <c r="J82" s="501" t="str">
        <f t="shared" si="3"/>
        <v>X</v>
      </c>
      <c r="K82" s="304"/>
      <c r="L82" s="432"/>
      <c r="N82" s="5"/>
      <c r="O82" s="5"/>
      <c r="P82" s="5"/>
      <c r="Q82" s="5"/>
      <c r="R82" s="5"/>
      <c r="S82" s="5"/>
    </row>
    <row r="83" spans="1:19" s="78" customFormat="1" ht="12.95">
      <c r="A83" s="247" t="s">
        <v>106</v>
      </c>
      <c r="B83" s="78" t="s">
        <v>190</v>
      </c>
      <c r="C83" s="487" t="s">
        <v>12</v>
      </c>
      <c r="D83" s="487"/>
      <c r="E83" s="487"/>
      <c r="F83" s="487"/>
      <c r="G83" s="487"/>
      <c r="H83" s="487"/>
      <c r="I83" s="487"/>
      <c r="J83" s="501"/>
      <c r="K83" s="247"/>
      <c r="L83" s="503"/>
    </row>
  </sheetData>
  <sheetProtection algorithmName="SHA-512" hashValue="qaxIANUdRzPU/C3j5fPW5BGvVxTLHpXxcwGjPEcukV6Dvc7KNHMwK9+BWD+cO1KH9VaoGI42XcEI+U0kUIR0EQ==" saltValue="gtdKX/PkbW6ynNxXYF538w==" spinCount="100000" sheet="1" objects="1" scenarios="1"/>
  <mergeCells count="52">
    <mergeCell ref="D50:H50"/>
    <mergeCell ref="D46:H47"/>
    <mergeCell ref="D35:H35"/>
    <mergeCell ref="D36:H36"/>
    <mergeCell ref="D53:H53"/>
    <mergeCell ref="D37:H37"/>
    <mergeCell ref="D39:H39"/>
    <mergeCell ref="D40:H40"/>
    <mergeCell ref="D41:H41"/>
    <mergeCell ref="D51:H51"/>
    <mergeCell ref="D38:H38"/>
    <mergeCell ref="C18:C21"/>
    <mergeCell ref="D18:E18"/>
    <mergeCell ref="C32:C33"/>
    <mergeCell ref="D21:E21"/>
    <mergeCell ref="D26:E26"/>
    <mergeCell ref="D27:E27"/>
    <mergeCell ref="D20:E20"/>
    <mergeCell ref="D34:H34"/>
    <mergeCell ref="D24:E24"/>
    <mergeCell ref="D22:E22"/>
    <mergeCell ref="C22:C27"/>
    <mergeCell ref="D23:E23"/>
    <mergeCell ref="D32:H33"/>
    <mergeCell ref="D25:E25"/>
    <mergeCell ref="C2:I2"/>
    <mergeCell ref="C11:I11"/>
    <mergeCell ref="C12:I12"/>
    <mergeCell ref="D3:E3"/>
    <mergeCell ref="H16:H17"/>
    <mergeCell ref="I16:I17"/>
    <mergeCell ref="G3:H3"/>
    <mergeCell ref="C16:C17"/>
    <mergeCell ref="D16:E17"/>
    <mergeCell ref="F16:F17"/>
    <mergeCell ref="G16:G17"/>
    <mergeCell ref="C82:I82"/>
    <mergeCell ref="D7:F7"/>
    <mergeCell ref="C65:I65"/>
    <mergeCell ref="C64:I64"/>
    <mergeCell ref="C46:C47"/>
    <mergeCell ref="I46:I47"/>
    <mergeCell ref="D49:H49"/>
    <mergeCell ref="D52:H52"/>
    <mergeCell ref="D48:H48"/>
    <mergeCell ref="C13:I13"/>
    <mergeCell ref="C15:I15"/>
    <mergeCell ref="C31:I31"/>
    <mergeCell ref="C45:I45"/>
    <mergeCell ref="I32:I33"/>
    <mergeCell ref="D19:E19"/>
    <mergeCell ref="C62:I62"/>
  </mergeCells>
  <conditionalFormatting sqref="L81:L82">
    <cfRule type="cellIs" dxfId="80" priority="47" operator="equal">
      <formula>"X"</formula>
    </cfRule>
    <cfRule type="cellIs" dxfId="79" priority="48" operator="equal">
      <formula>"F"</formula>
    </cfRule>
    <cfRule type="cellIs" dxfId="78" priority="49" operator="equal">
      <formula>"V"</formula>
    </cfRule>
  </conditionalFormatting>
  <conditionalFormatting sqref="E5:H5">
    <cfRule type="cellIs" dxfId="77" priority="46" operator="equal">
      <formula>0</formula>
    </cfRule>
  </conditionalFormatting>
  <conditionalFormatting sqref="F69:I72 F74:I75 F79:I79 I68">
    <cfRule type="expression" dxfId="76" priority="21">
      <formula>LEN(F$67)&lt;2</formula>
    </cfRule>
  </conditionalFormatting>
  <conditionalFormatting sqref="E68:E72 E74:E75 E79 F68">
    <cfRule type="expression" dxfId="75" priority="20">
      <formula>LEN($E$5)+LEN($F$5)+LEN($G$5)+LEN($H$5)&lt;5</formula>
    </cfRule>
  </conditionalFormatting>
  <conditionalFormatting sqref="E67">
    <cfRule type="expression" dxfId="74" priority="19">
      <formula>LEN($E$5)+LEN($F$5)+LEN($G$5)+LEN($H$5)&lt;5</formula>
    </cfRule>
  </conditionalFormatting>
  <conditionalFormatting sqref="F77:I77">
    <cfRule type="expression" dxfId="73" priority="15">
      <formula>LEN(F$67)&lt;2</formula>
    </cfRule>
  </conditionalFormatting>
  <conditionalFormatting sqref="E77">
    <cfRule type="expression" dxfId="72" priority="14">
      <formula>LEN($E$5)+LEN($F$5)+LEN($G$5)+LEN($H$5)&lt;5</formula>
    </cfRule>
  </conditionalFormatting>
  <conditionalFormatting sqref="L61:L62">
    <cfRule type="cellIs" dxfId="71" priority="8" operator="equal">
      <formula>"X"</formula>
    </cfRule>
    <cfRule type="cellIs" dxfId="70" priority="9" operator="equal">
      <formula>"F"</formula>
    </cfRule>
    <cfRule type="cellIs" dxfId="69" priority="10" operator="equal">
      <formula>"V"</formula>
    </cfRule>
  </conditionalFormatting>
  <conditionalFormatting sqref="G68:H68">
    <cfRule type="expression" dxfId="68" priority="5">
      <formula>LEN(G$67)&lt;2</formula>
    </cfRule>
  </conditionalFormatting>
  <conditionalFormatting sqref="K1:K18 K21:K1048576">
    <cfRule type="cellIs" dxfId="67" priority="6" operator="equal">
      <formula>"Erro"</formula>
    </cfRule>
    <cfRule type="cellIs" dxfId="66" priority="7" operator="equal">
      <formula>"V"</formula>
    </cfRule>
  </conditionalFormatting>
  <conditionalFormatting sqref="K20">
    <cfRule type="cellIs" dxfId="65" priority="3" operator="equal">
      <formula>"Erro"</formula>
    </cfRule>
    <cfRule type="cellIs" dxfId="64" priority="4" operator="equal">
      <formula>"V"</formula>
    </cfRule>
  </conditionalFormatting>
  <conditionalFormatting sqref="K19">
    <cfRule type="cellIs" dxfId="63" priority="1" operator="equal">
      <formula>"Erro"</formula>
    </cfRule>
    <cfRule type="cellIs" dxfId="62" priority="2" operator="equal">
      <formula>"V"</formula>
    </cfRule>
  </conditionalFormatting>
  <dataValidations count="1">
    <dataValidation type="decimal" allowBlank="1" showInputMessage="1" showErrorMessage="1" errorTitle="Erro" error="Valor tem de ser igual ou inferior a 5%" sqref="F75:I75 F77:I77" xr:uid="{CE999A63-5A11-4B07-80BF-BAED35E3BA00}">
      <formula1>0</formula1>
      <formula2>0.05</formula2>
    </dataValidation>
  </dataValidations>
  <printOptions horizontalCentered="1"/>
  <pageMargins left="0.59055118110236227" right="0.39370078740157483" top="0.78740157480314965" bottom="0.23622047244094491" header="0.39370078740157483" footer="0.19685039370078741"/>
  <pageSetup paperSize="9" scale="65" fitToWidth="0" fitToHeight="0" orientation="portrait" horizontalDpi="1200" verticalDpi="1200" r:id="rId1"/>
  <headerFooter>
    <oddHeader>&amp;L&amp;G&amp;C&amp;"Arial,Bold"
&amp;14PROJETO DE SERVIÇOS DE I&amp;&amp;D E CONSULTORIA</oddHeader>
  </headerFooter>
  <rowBreaks count="1" manualBreakCount="1">
    <brk id="62" max="16383" man="1"/>
  </rowBreaks>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2ECE4-FB66-4782-875A-76745A49FBA5}">
  <sheetPr>
    <tabColor rgb="FF00FF00"/>
  </sheetPr>
  <dimension ref="D6:H10"/>
  <sheetViews>
    <sheetView tabSelected="1" workbookViewId="0">
      <selection activeCell="H10" sqref="H10"/>
    </sheetView>
  </sheetViews>
  <sheetFormatPr defaultRowHeight="12.6"/>
  <cols>
    <col min="4" max="4" width="12.7109375" bestFit="1" customWidth="1"/>
    <col min="6" max="6" width="12.7109375" bestFit="1" customWidth="1"/>
    <col min="8" max="8" width="12.7109375" bestFit="1" customWidth="1"/>
  </cols>
  <sheetData>
    <row r="6" spans="4:8">
      <c r="D6" s="550">
        <f>Preco_Final</f>
        <v>119954</v>
      </c>
      <c r="F6" s="550">
        <v>36966</v>
      </c>
      <c r="G6" s="551">
        <v>0.3</v>
      </c>
      <c r="H6" s="552">
        <f>$H$10*G6</f>
        <v>35986.199999999997</v>
      </c>
    </row>
    <row r="7" spans="4:8">
      <c r="F7" s="550">
        <v>24644</v>
      </c>
      <c r="G7" s="551">
        <v>0.2</v>
      </c>
      <c r="H7" s="552">
        <f>$H$10*G7</f>
        <v>23990.800000000003</v>
      </c>
    </row>
    <row r="8" spans="4:8">
      <c r="F8" s="550">
        <v>24644</v>
      </c>
      <c r="G8" s="551">
        <v>0.2</v>
      </c>
      <c r="H8" s="552">
        <f>$H$10*G8</f>
        <v>23990.800000000003</v>
      </c>
    </row>
    <row r="9" spans="4:8">
      <c r="F9" s="550">
        <v>36966</v>
      </c>
      <c r="G9" s="551">
        <v>0.3</v>
      </c>
      <c r="H9" s="552">
        <f>$H$10*G9</f>
        <v>35986.199999999997</v>
      </c>
    </row>
    <row r="10" spans="4:8">
      <c r="F10" s="550">
        <f>SUM(F6:F9)</f>
        <v>123220</v>
      </c>
      <c r="H10" s="552">
        <f>D6</f>
        <v>119954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FF00"/>
  </sheetPr>
  <dimension ref="A1:Y74"/>
  <sheetViews>
    <sheetView showGridLines="0" topLeftCell="B44" zoomScaleNormal="100" workbookViewId="0">
      <selection activeCell="B1" sqref="B1"/>
    </sheetView>
  </sheetViews>
  <sheetFormatPr defaultColWidth="9.140625" defaultRowHeight="14.1"/>
  <cols>
    <col min="1" max="1" width="12.5703125" style="84" hidden="1" customWidth="1"/>
    <col min="2" max="2" width="4.85546875" style="84" customWidth="1"/>
    <col min="3" max="3" width="21" style="15" customWidth="1"/>
    <col min="4" max="5" width="13.5703125" style="15" customWidth="1"/>
    <col min="6" max="9" width="13.5703125" style="3" customWidth="1"/>
    <col min="10" max="12" width="13.5703125" style="3" hidden="1" customWidth="1"/>
    <col min="13" max="13" width="1.5703125" style="84" customWidth="1"/>
    <col min="14" max="14" width="4.5703125" style="5" customWidth="1"/>
    <col min="15" max="15" width="9.140625" style="438" hidden="1" customWidth="1"/>
    <col min="16" max="29" width="9.140625" style="3" customWidth="1"/>
    <col min="30" max="16384" width="9.140625" style="3"/>
  </cols>
  <sheetData>
    <row r="1" spans="1:25" ht="24" customHeight="1">
      <c r="B1" s="87" t="s">
        <v>323</v>
      </c>
      <c r="C1" s="87"/>
      <c r="D1" s="87"/>
      <c r="E1" s="87"/>
      <c r="F1" s="15"/>
      <c r="H1" s="10"/>
      <c r="I1" s="10"/>
      <c r="J1" s="10"/>
      <c r="K1" s="11"/>
      <c r="N1" s="43" t="str">
        <f>IF(COUNTIFS($N$14:$N$64,"Erro")=0,"V","Erro")</f>
        <v>V</v>
      </c>
    </row>
    <row r="2" spans="1:25" s="324" customFormat="1" ht="30" customHeight="1">
      <c r="A2" s="323"/>
      <c r="B2" s="575" t="s">
        <v>324</v>
      </c>
      <c r="C2" s="575"/>
      <c r="D2" s="575"/>
      <c r="E2" s="575"/>
      <c r="F2" s="575"/>
      <c r="G2" s="575"/>
      <c r="H2" s="575"/>
      <c r="I2" s="575"/>
      <c r="J2" s="575"/>
      <c r="K2" s="575"/>
      <c r="L2" s="575"/>
      <c r="M2" s="330"/>
      <c r="N2" s="325"/>
      <c r="O2" s="505"/>
      <c r="P2" s="325"/>
      <c r="Q2" s="325"/>
      <c r="R2" s="325"/>
      <c r="S2" s="325"/>
    </row>
    <row r="3" spans="1:25" s="14" customFormat="1" ht="15.95" customHeight="1">
      <c r="A3" s="88"/>
      <c r="C3" s="312"/>
      <c r="D3" s="77" t="s">
        <v>202</v>
      </c>
      <c r="E3" s="591" t="str">
        <f>Projeto</f>
        <v>Amorim_OT_F1</v>
      </c>
      <c r="F3" s="592"/>
      <c r="G3" s="77" t="s">
        <v>325</v>
      </c>
      <c r="H3" s="626" t="str">
        <f>Cliente</f>
        <v>Corticeira Amorim</v>
      </c>
      <c r="I3" s="626"/>
      <c r="J3" s="626"/>
      <c r="M3" s="49"/>
      <c r="O3" s="438"/>
    </row>
    <row r="4" spans="1:25" ht="9" customHeight="1">
      <c r="B4" s="3"/>
      <c r="C4" s="311"/>
      <c r="D4" s="311"/>
      <c r="E4" s="3"/>
      <c r="H4" s="14"/>
      <c r="I4" s="14"/>
      <c r="M4" s="48"/>
      <c r="N4" s="3"/>
    </row>
    <row r="5" spans="1:25" s="14" customFormat="1" ht="15.6">
      <c r="A5" s="88"/>
      <c r="C5" s="312"/>
      <c r="D5" s="77" t="s">
        <v>207</v>
      </c>
      <c r="E5" s="315" t="str">
        <f>Centro_Prop</f>
        <v>CESE</v>
      </c>
      <c r="F5" s="315">
        <f>Centro1</f>
        <v>0</v>
      </c>
      <c r="G5" s="315">
        <f>Centro2</f>
        <v>0</v>
      </c>
      <c r="H5" s="315">
        <f>Centro3</f>
        <v>0</v>
      </c>
      <c r="I5" s="316">
        <f>Centro4</f>
        <v>0</v>
      </c>
      <c r="M5" s="49"/>
      <c r="O5" s="438"/>
      <c r="R5" s="377"/>
    </row>
    <row r="6" spans="1:25" ht="9" customHeight="1">
      <c r="B6" s="3"/>
      <c r="C6" s="311"/>
      <c r="D6" s="311"/>
      <c r="E6" s="3"/>
      <c r="H6" s="14"/>
      <c r="I6" s="14"/>
      <c r="J6" s="14"/>
      <c r="M6" s="48"/>
      <c r="N6" s="3"/>
    </row>
    <row r="7" spans="1:25" s="14" customFormat="1" ht="15.95" customHeight="1">
      <c r="A7" s="88"/>
      <c r="C7" s="312"/>
      <c r="D7" s="77" t="s">
        <v>326</v>
      </c>
      <c r="E7" s="626" t="str">
        <f>Resp_Proj</f>
        <v>Rui Rebelo</v>
      </c>
      <c r="F7" s="626"/>
      <c r="G7" s="626"/>
      <c r="H7"/>
      <c r="I7"/>
      <c r="J7"/>
      <c r="M7" s="49"/>
      <c r="O7" s="438"/>
    </row>
    <row r="8" spans="1:25" ht="9" customHeight="1">
      <c r="B8" s="3"/>
      <c r="C8" s="311"/>
      <c r="D8" s="311"/>
      <c r="E8" s="3"/>
      <c r="H8" s="14"/>
      <c r="I8" s="14"/>
      <c r="J8" s="14"/>
      <c r="M8" s="48"/>
      <c r="N8" s="3"/>
    </row>
    <row r="9" spans="1:25" s="14" customFormat="1" ht="15.6">
      <c r="A9" s="88"/>
      <c r="C9" s="312"/>
      <c r="D9" s="77" t="s">
        <v>203</v>
      </c>
      <c r="E9" s="321">
        <f>Inicio</f>
        <v>46023</v>
      </c>
      <c r="F9" s="77" t="s">
        <v>204</v>
      </c>
      <c r="G9" s="321">
        <f>Fim</f>
        <v>46368</v>
      </c>
      <c r="H9" s="77" t="s">
        <v>327</v>
      </c>
      <c r="I9" s="322">
        <f>Duracao</f>
        <v>11.3</v>
      </c>
      <c r="J9" s="47"/>
      <c r="M9" s="49"/>
      <c r="O9" s="438"/>
    </row>
    <row r="10" spans="1:25" s="48" customFormat="1" ht="15.95" customHeight="1" thickBot="1">
      <c r="A10" s="50"/>
      <c r="H10" s="352" t="s">
        <v>328</v>
      </c>
      <c r="I10" s="353"/>
      <c r="M10" s="21"/>
      <c r="O10" s="438"/>
    </row>
    <row r="11" spans="1:25" s="197" customFormat="1" ht="13.5" customHeight="1">
      <c r="A11" s="437" t="s">
        <v>101</v>
      </c>
      <c r="B11" s="539"/>
      <c r="C11" s="539"/>
      <c r="D11" s="539"/>
      <c r="E11" s="539"/>
      <c r="F11" s="539"/>
      <c r="G11" s="539"/>
      <c r="H11" s="539"/>
      <c r="I11" s="539"/>
      <c r="J11" s="539"/>
      <c r="K11" s="539"/>
      <c r="L11" s="539"/>
      <c r="M11" s="198" t="s">
        <v>106</v>
      </c>
      <c r="O11" s="438"/>
    </row>
    <row r="12" spans="1:25" ht="30" customHeight="1">
      <c r="B12" s="608" t="s">
        <v>363</v>
      </c>
      <c r="C12" s="608"/>
      <c r="D12" s="608"/>
      <c r="E12" s="608"/>
      <c r="F12" s="608"/>
      <c r="G12" s="608"/>
      <c r="H12" s="608"/>
      <c r="I12" s="608"/>
      <c r="J12" s="608"/>
      <c r="K12" s="608"/>
      <c r="L12" s="608"/>
    </row>
    <row r="13" spans="1:25" ht="30" customHeight="1">
      <c r="B13" s="556" t="s">
        <v>364</v>
      </c>
      <c r="C13" s="556"/>
      <c r="D13" s="556"/>
      <c r="E13" s="556"/>
      <c r="F13" s="556"/>
      <c r="G13" s="556"/>
      <c r="H13" s="556"/>
      <c r="I13" s="556"/>
      <c r="J13" s="556"/>
      <c r="K13" s="556"/>
      <c r="L13" s="556"/>
      <c r="N13" s="212"/>
    </row>
    <row r="14" spans="1:25" ht="24.75" customHeight="1">
      <c r="B14" s="568" t="s">
        <v>164</v>
      </c>
      <c r="C14" s="568"/>
      <c r="D14" s="568"/>
      <c r="E14" s="568"/>
      <c r="F14" s="28" t="s">
        <v>365</v>
      </c>
      <c r="G14" s="32" t="s">
        <v>366</v>
      </c>
      <c r="H14" s="38" t="str">
        <f>Centro_Prop</f>
        <v>CESE</v>
      </c>
      <c r="I14" s="38">
        <f>Centro1</f>
        <v>0</v>
      </c>
      <c r="J14" s="38">
        <f>Centro2</f>
        <v>0</v>
      </c>
      <c r="K14" s="38">
        <f>Centro3</f>
        <v>0</v>
      </c>
      <c r="L14" s="38">
        <f>Centro4</f>
        <v>0</v>
      </c>
    </row>
    <row r="15" spans="1:25" s="192" customFormat="1" ht="15.95" customHeight="1">
      <c r="A15" s="84" t="s">
        <v>176</v>
      </c>
      <c r="B15" s="620" t="s">
        <v>175</v>
      </c>
      <c r="C15" s="620"/>
      <c r="D15" s="620"/>
      <c r="E15" s="620"/>
      <c r="F15" s="420" t="s">
        <v>176</v>
      </c>
      <c r="G15" s="422">
        <f t="shared" ref="G15:G22" si="0">SUM(H15:L15)</f>
        <v>2</v>
      </c>
      <c r="H15" s="37">
        <f>SUMIFS(RH!$T:$T,RH!$H:$H,H$14,RH!$P:$P,$F15,RH!$E:$E,1)</f>
        <v>2</v>
      </c>
      <c r="I15" s="37">
        <f>SUMIFS(RH!$T:$T,RH!$H:$H,I$14,RH!$P:$P,$F15,RH!$E:$E,1)</f>
        <v>0</v>
      </c>
      <c r="J15" s="37">
        <f>SUMIFS(RH!$T:$T,RH!$H:$H,J$14,RH!$P:$P,$F15,RH!$E:$E,1)</f>
        <v>0</v>
      </c>
      <c r="K15" s="37">
        <f>SUMIFS(RH!$T:$T,RH!$H:$H,K$14,RH!$P:$P,$F15,RH!$E:$E,1)</f>
        <v>0</v>
      </c>
      <c r="L15" s="37">
        <f>SUMIFS(RH!$T:$T,RH!$H:$H,L$14,RH!$P:$P,$F15,RH!$E:$E,1)</f>
        <v>0</v>
      </c>
      <c r="M15" s="84"/>
      <c r="O15" s="438"/>
      <c r="P15" s="529"/>
      <c r="W15" s="305"/>
      <c r="X15" s="305"/>
      <c r="Y15" s="305"/>
    </row>
    <row r="16" spans="1:25" s="192" customFormat="1" ht="15.95" customHeight="1">
      <c r="A16" s="84" t="s">
        <v>178</v>
      </c>
      <c r="B16" s="620" t="s">
        <v>177</v>
      </c>
      <c r="C16" s="620"/>
      <c r="D16" s="620"/>
      <c r="E16" s="620"/>
      <c r="F16" s="420" t="s">
        <v>178</v>
      </c>
      <c r="G16" s="422">
        <f t="shared" si="0"/>
        <v>2</v>
      </c>
      <c r="H16" s="37">
        <f>SUMIFS(RH!$T:$T,RH!$H:$H,H$14,RH!$P:$P,$F16,RH!$E:$E,1)</f>
        <v>2</v>
      </c>
      <c r="I16" s="37">
        <f>SUMIFS(RH!$T:$T,RH!$H:$H,I$14,RH!$P:$P,$F16,RH!$E:$E,1)</f>
        <v>0</v>
      </c>
      <c r="J16" s="37">
        <f>SUMIFS(RH!$T:$T,RH!$H:$H,J$14,RH!$P:$P,$F16,RH!$E:$E,1)</f>
        <v>0</v>
      </c>
      <c r="K16" s="37">
        <f>SUMIFS(RH!$T:$T,RH!$H:$H,K$14,RH!$P:$P,$F16,RH!$E:$E,1)</f>
        <v>0</v>
      </c>
      <c r="L16" s="37">
        <f>SUMIFS(RH!$T:$T,RH!$H:$H,L$14,RH!$P:$P,$F16,RH!$E:$E,1)</f>
        <v>0</v>
      </c>
      <c r="M16" s="84"/>
      <c r="O16" s="438"/>
      <c r="W16" s="305"/>
      <c r="X16" s="305"/>
      <c r="Y16" s="305"/>
    </row>
    <row r="17" spans="1:25" s="192" customFormat="1" ht="15.95" customHeight="1">
      <c r="A17" s="84" t="s">
        <v>180</v>
      </c>
      <c r="B17" s="620" t="s">
        <v>179</v>
      </c>
      <c r="C17" s="620"/>
      <c r="D17" s="620"/>
      <c r="E17" s="620"/>
      <c r="F17" s="420" t="s">
        <v>180</v>
      </c>
      <c r="G17" s="422">
        <f t="shared" si="0"/>
        <v>2.25</v>
      </c>
      <c r="H17" s="37">
        <f>SUMIFS(RH!$T:$T,RH!$H:$H,H$14,RH!$P:$P,$F17,RH!$E:$E,1)</f>
        <v>2.25</v>
      </c>
      <c r="I17" s="37">
        <f>SUMIFS(RH!$T:$T,RH!$H:$H,I$14,RH!$P:$P,$F17,RH!$E:$E,1)</f>
        <v>0</v>
      </c>
      <c r="J17" s="37">
        <f>SUMIFS(RH!$T:$T,RH!$H:$H,J$14,RH!$P:$P,$F17,RH!$E:$E,1)</f>
        <v>0</v>
      </c>
      <c r="K17" s="37">
        <f>SUMIFS(RH!$T:$T,RH!$H:$H,K$14,RH!$P:$P,$F17,RH!$E:$E,1)</f>
        <v>0</v>
      </c>
      <c r="L17" s="37">
        <f>SUMIFS(RH!$T:$T,RH!$H:$H,L$14,RH!$P:$P,$F17,RH!$E:$E,1)</f>
        <v>0</v>
      </c>
      <c r="M17" s="84"/>
      <c r="O17" s="438"/>
      <c r="W17" s="305"/>
      <c r="X17" s="305"/>
      <c r="Y17" s="305"/>
    </row>
    <row r="18" spans="1:25" s="192" customFormat="1" ht="15.95" customHeight="1">
      <c r="A18" s="84" t="s">
        <v>182</v>
      </c>
      <c r="B18" s="620" t="s">
        <v>181</v>
      </c>
      <c r="C18" s="620"/>
      <c r="D18" s="620"/>
      <c r="E18" s="620"/>
      <c r="F18" s="420" t="s">
        <v>182</v>
      </c>
      <c r="G18" s="422">
        <f t="shared" si="0"/>
        <v>4.5</v>
      </c>
      <c r="H18" s="37">
        <f>SUMIFS(RH!$T:$T,RH!$H:$H,H$14,RH!$P:$P,$F18,RH!$E:$E,1)</f>
        <v>4.5</v>
      </c>
      <c r="I18" s="37">
        <f>SUMIFS(RH!$T:$T,RH!$H:$H,I$14,RH!$P:$P,$F18,RH!$E:$E,1)</f>
        <v>0</v>
      </c>
      <c r="J18" s="37">
        <f>SUMIFS(RH!$T:$T,RH!$H:$H,J$14,RH!$P:$P,$F18,RH!$E:$E,1)</f>
        <v>0</v>
      </c>
      <c r="K18" s="37">
        <f>SUMIFS(RH!$T:$T,RH!$H:$H,K$14,RH!$P:$P,$F18,RH!$E:$E,1)</f>
        <v>0</v>
      </c>
      <c r="L18" s="37">
        <f>SUMIFS(RH!$T:$T,RH!$H:$H,L$14,RH!$P:$P,$F18,RH!$E:$E,1)</f>
        <v>0</v>
      </c>
      <c r="M18" s="84"/>
      <c r="O18" s="438"/>
      <c r="W18" s="305"/>
      <c r="X18" s="305"/>
      <c r="Y18" s="305"/>
    </row>
    <row r="19" spans="1:25" s="192" customFormat="1" ht="15.95" customHeight="1">
      <c r="A19" s="84" t="s">
        <v>184</v>
      </c>
      <c r="B19" s="620" t="s">
        <v>183</v>
      </c>
      <c r="C19" s="620"/>
      <c r="D19" s="620"/>
      <c r="E19" s="620"/>
      <c r="F19" s="420" t="s">
        <v>184</v>
      </c>
      <c r="G19" s="422">
        <f t="shared" si="0"/>
        <v>0</v>
      </c>
      <c r="H19" s="37">
        <f>SUMIFS(RH!$T:$T,RH!$H:$H,H$14,RH!$P:$P,$F19,RH!$E:$E,1)</f>
        <v>0</v>
      </c>
      <c r="I19" s="37">
        <f>SUMIFS(RH!$T:$T,RH!$H:$H,I$14,RH!$P:$P,$F19,RH!$E:$E,1)</f>
        <v>0</v>
      </c>
      <c r="J19" s="37">
        <f>SUMIFS(RH!$T:$T,RH!$H:$H,J$14,RH!$P:$P,$F19,RH!$E:$E,1)</f>
        <v>0</v>
      </c>
      <c r="K19" s="37">
        <f>SUMIFS(RH!$T:$T,RH!$H:$H,K$14,RH!$P:$P,$F19,RH!$E:$E,1)</f>
        <v>0</v>
      </c>
      <c r="L19" s="37">
        <f>SUMIFS(RH!$T:$T,RH!$H:$H,L$14,RH!$P:$P,$F19,RH!$E:$E,1)</f>
        <v>0</v>
      </c>
      <c r="M19" s="84"/>
      <c r="O19" s="438"/>
      <c r="W19" s="305"/>
      <c r="X19" s="305"/>
      <c r="Y19" s="305"/>
    </row>
    <row r="20" spans="1:25" s="192" customFormat="1" ht="15.95" customHeight="1">
      <c r="A20" s="84" t="s">
        <v>186</v>
      </c>
      <c r="B20" s="620" t="s">
        <v>185</v>
      </c>
      <c r="C20" s="620"/>
      <c r="D20" s="620"/>
      <c r="E20" s="620"/>
      <c r="F20" s="420" t="s">
        <v>186</v>
      </c>
      <c r="G20" s="422">
        <f t="shared" si="0"/>
        <v>0</v>
      </c>
      <c r="H20" s="37">
        <f>SUMIFS(RH!$T:$T,RH!$H:$H,H$14,RH!$P:$P,$F20,RH!$E:$E,1)</f>
        <v>0</v>
      </c>
      <c r="I20" s="37">
        <f>SUMIFS(RH!$T:$T,RH!$H:$H,I$14,RH!$P:$P,$F20,RH!$E:$E,1)</f>
        <v>0</v>
      </c>
      <c r="J20" s="37">
        <f>SUMIFS(RH!$T:$T,RH!$H:$H,J$14,RH!$P:$P,$F20,RH!$E:$E,1)</f>
        <v>0</v>
      </c>
      <c r="K20" s="37">
        <f>SUMIFS(RH!$T:$T,RH!$H:$H,K$14,RH!$P:$P,$F20,RH!$E:$E,1)</f>
        <v>0</v>
      </c>
      <c r="L20" s="37">
        <f>SUMIFS(RH!$T:$T,RH!$H:$H,L$14,RH!$P:$P,$F20,RH!$E:$E,1)</f>
        <v>0</v>
      </c>
      <c r="M20" s="84"/>
      <c r="O20" s="438"/>
      <c r="W20" s="305"/>
      <c r="X20" s="305"/>
      <c r="Y20" s="305"/>
    </row>
    <row r="21" spans="1:25" ht="9" customHeight="1">
      <c r="B21" s="3"/>
      <c r="C21" s="310"/>
      <c r="D21" s="310"/>
      <c r="E21" s="310"/>
      <c r="F21" s="284"/>
      <c r="G21" s="306"/>
      <c r="H21" s="33"/>
      <c r="I21" s="33"/>
      <c r="J21" s="33"/>
      <c r="K21" s="33"/>
      <c r="L21" s="33"/>
      <c r="N21" s="211"/>
      <c r="S21" s="33"/>
      <c r="U21" s="33"/>
    </row>
    <row r="22" spans="1:25" s="192" customFormat="1" ht="20.100000000000001" customHeight="1">
      <c r="A22" s="85"/>
      <c r="C22" s="309"/>
      <c r="D22" s="309"/>
      <c r="F22" s="24" t="s">
        <v>367</v>
      </c>
      <c r="G22" s="308">
        <f t="shared" si="0"/>
        <v>10.75</v>
      </c>
      <c r="H22" s="308">
        <f t="shared" ref="H22:K22" si="1">SUM(H15:H20)</f>
        <v>10.75</v>
      </c>
      <c r="I22" s="308">
        <f t="shared" si="1"/>
        <v>0</v>
      </c>
      <c r="J22" s="308">
        <f t="shared" si="1"/>
        <v>0</v>
      </c>
      <c r="K22" s="308">
        <f t="shared" si="1"/>
        <v>0</v>
      </c>
      <c r="L22" s="308">
        <f t="shared" ref="L22" si="2">SUM(L15:L20)</f>
        <v>0</v>
      </c>
      <c r="M22" s="84"/>
      <c r="N22" s="43" t="str">
        <f>IF(ABS(Esforco_Total-$G22)&lt;0.02,"V","Erro")</f>
        <v>V</v>
      </c>
      <c r="O22" s="438">
        <f>IF($N22="OK","",Esforco_Total-$G22)</f>
        <v>0</v>
      </c>
      <c r="W22" s="305"/>
      <c r="X22" s="305"/>
      <c r="Y22" s="305"/>
    </row>
    <row r="23" spans="1:25" ht="15.75" customHeight="1">
      <c r="C23" s="3"/>
      <c r="D23" s="3"/>
      <c r="E23" s="3"/>
    </row>
    <row r="24" spans="1:25" ht="30" customHeight="1">
      <c r="B24" s="409"/>
      <c r="C24" s="409"/>
      <c r="D24" s="409"/>
      <c r="E24" s="409"/>
      <c r="F24" s="405" t="s">
        <v>368</v>
      </c>
      <c r="G24" s="409"/>
      <c r="H24" s="409"/>
      <c r="I24" s="409"/>
      <c r="J24" s="409" t="str">
        <f>IF(opcao_tabela="Simplificado","Folha RH  - Tabela A (Simplificado)","Folha RH  - Tabela B (Detalhado)")</f>
        <v>Folha RH  - Tabela A (Simplificado)</v>
      </c>
      <c r="K24" s="409"/>
      <c r="L24" s="409"/>
      <c r="P24" s="401"/>
    </row>
    <row r="25" spans="1:25" ht="24.75" customHeight="1">
      <c r="B25" s="624"/>
      <c r="C25" s="624"/>
      <c r="D25" s="624"/>
      <c r="E25" s="624"/>
      <c r="F25" s="624"/>
      <c r="G25" s="32" t="s">
        <v>369</v>
      </c>
      <c r="H25" s="38" t="str">
        <f>Centro_Prop</f>
        <v>CESE</v>
      </c>
      <c r="I25" s="38">
        <f>Centro1</f>
        <v>0</v>
      </c>
      <c r="J25" s="38">
        <f>Centro2</f>
        <v>0</v>
      </c>
      <c r="K25" s="38">
        <f>Centro3</f>
        <v>0</v>
      </c>
      <c r="L25" s="38">
        <f>Centro4</f>
        <v>0</v>
      </c>
    </row>
    <row r="26" spans="1:25" ht="15.95" customHeight="1">
      <c r="A26" s="85"/>
      <c r="B26" s="620" t="s">
        <v>370</v>
      </c>
      <c r="C26" s="620"/>
      <c r="D26" s="620"/>
      <c r="E26" s="620"/>
      <c r="F26" s="620"/>
      <c r="G26" s="195">
        <f>SUM(H26:L26)</f>
        <v>66791</v>
      </c>
      <c r="H26" s="36">
        <f>SUMIFS(RH!$V:$V,RH!$H:$H,H$25,RH!$E:$E,1)</f>
        <v>66791</v>
      </c>
      <c r="I26" s="36">
        <f>SUMIFS(RH!$V:$V,RH!$H:$H,I$25,RH!$E:$E,1)</f>
        <v>0</v>
      </c>
      <c r="J26" s="36">
        <f>SUMIFS(RH!$V:$V,RH!$H:$H,J$25,RH!$E:$E,1)</f>
        <v>0</v>
      </c>
      <c r="K26" s="36">
        <f>SUMIFS(RH!$V:$V,RH!$H:$H,K$25,RH!$E:$E,1)</f>
        <v>0</v>
      </c>
      <c r="L26" s="36">
        <f>SUMIFS(RH!$V:$V,RH!$H:$H,L$25,RH!$E:$E,1)</f>
        <v>0</v>
      </c>
      <c r="N26" s="43" t="str">
        <f>IF(ABS(CF_RH_Total-$G26)&lt;2,"V","Erro")</f>
        <v>V</v>
      </c>
      <c r="O26" s="438">
        <f>IF($N$26="OK","",CF_RH_Total-$G26)</f>
        <v>0</v>
      </c>
      <c r="P26" s="401" t="s">
        <v>371</v>
      </c>
      <c r="Q26" s="204"/>
      <c r="S26" s="33"/>
      <c r="U26" s="33"/>
      <c r="W26"/>
      <c r="X26"/>
      <c r="Y26"/>
    </row>
    <row r="27" spans="1:25" ht="15.95" customHeight="1">
      <c r="A27" s="85"/>
      <c r="B27" s="620" t="s">
        <v>372</v>
      </c>
      <c r="C27" s="620"/>
      <c r="D27" s="620"/>
      <c r="E27" s="620"/>
      <c r="F27" s="620"/>
      <c r="G27" s="195">
        <f>SUM(H27:L27)</f>
        <v>0</v>
      </c>
      <c r="H27" s="36">
        <f>SUMIFS(RH!$X:$X,RH!$H:$H,H$25,RH!$E:$E,1)</f>
        <v>0</v>
      </c>
      <c r="I27" s="36">
        <f>SUMIFS(RH!$X:$X,RH!$H:$H,I$25,RH!$E:$E,1)</f>
        <v>0</v>
      </c>
      <c r="J27" s="36">
        <f>SUMIFS(RH!$X:$X,RH!$H:$H,J$25,RH!$E:$E,1)</f>
        <v>0</v>
      </c>
      <c r="K27" s="36">
        <f>SUMIFS(RH!$X:$X,RH!$H:$H,K$25,RH!$E:$E,1)</f>
        <v>0</v>
      </c>
      <c r="L27" s="36">
        <f>SUMIFS(RH!$X:$X,RH!$H:$H,L$25,RH!$E:$E,1)</f>
        <v>0</v>
      </c>
      <c r="N27" s="43" t="str">
        <f>IF(ABS(CV_RH_Total-$G27)&lt;2,"V","Erro")</f>
        <v>V</v>
      </c>
      <c r="O27" s="438">
        <f>IF($N27="OK","",CV_RH_Total-$G27)</f>
        <v>0</v>
      </c>
      <c r="P27" s="204"/>
      <c r="Q27" s="204"/>
      <c r="S27" s="33"/>
      <c r="U27" s="33"/>
      <c r="W27"/>
      <c r="X27"/>
      <c r="Y27"/>
    </row>
    <row r="28" spans="1:25" ht="9" customHeight="1">
      <c r="B28" s="3"/>
      <c r="C28" s="310"/>
      <c r="D28" s="310"/>
      <c r="E28" s="310"/>
      <c r="F28" s="284"/>
      <c r="G28" s="306"/>
      <c r="H28" s="33"/>
      <c r="I28" s="33"/>
      <c r="J28" s="33"/>
      <c r="K28" s="33"/>
      <c r="L28" s="33"/>
      <c r="N28" s="101"/>
      <c r="S28" s="33"/>
      <c r="U28" s="33"/>
    </row>
    <row r="29" spans="1:25" ht="15.95" customHeight="1">
      <c r="A29" s="85" t="s">
        <v>254</v>
      </c>
      <c r="B29" s="620" t="s">
        <v>373</v>
      </c>
      <c r="C29" s="620"/>
      <c r="D29" s="620"/>
      <c r="E29" s="620"/>
      <c r="F29" s="620"/>
      <c r="G29" s="195">
        <f>SUM(H29:L29)</f>
        <v>66791</v>
      </c>
      <c r="H29" s="36">
        <f>SUMIFS(RH!$V:$V,RH!$H:$H,H$25,RH!$B:$B,$A29,RH!$E:$E,1)  +  SUMIFS(RH!$X:$X,RH!$H:$H,H$25,RH!$B:$B,$A29,RH!$E:$E,1)</f>
        <v>66791</v>
      </c>
      <c r="I29" s="36">
        <f>SUMIFS(RH!$V:$V,RH!$H:$H,I$25,RH!$B:$B,$A29,RH!$E:$E,1)  +  SUMIFS(RH!$X:$X,RH!$H:$H,I$25,RH!$B:$B,$A29,RH!$E:$E,1)</f>
        <v>0</v>
      </c>
      <c r="J29" s="36">
        <f>SUMIFS(RH!$V:$V,RH!$H:$H,J$25,RH!$B:$B,$A29,RH!$E:$E,1)  +  SUMIFS(RH!$X:$X,RH!$H:$H,J$25,RH!$B:$B,$A29,RH!$E:$E,1)</f>
        <v>0</v>
      </c>
      <c r="K29" s="36">
        <f>SUMIFS(RH!$V:$V,RH!$H:$H,K$25,RH!$B:$B,$A29,RH!$E:$E,1)  +  SUMIFS(RH!$X:$X,RH!$H:$H,K$25,RH!$B:$B,$A29,RH!$E:$E,1)</f>
        <v>0</v>
      </c>
      <c r="L29" s="36">
        <f>SUMIFS(RH!$V:$V,RH!$H:$H,L$25,RH!$B:$B,$A29,RH!$E:$E,1)  +  SUMIFS(RH!$X:$X,RH!$H:$H,L$25,RH!$B:$B,$A29,RH!$E:$E,1)</f>
        <v>0</v>
      </c>
      <c r="N29" s="43" t="str">
        <f>IF(ABS(CF_RH_C+CV_RH_C-$G29)&lt;2,"V","Erro")</f>
        <v>V</v>
      </c>
      <c r="O29" s="438">
        <f>IF($N29="OK","",CF_RH_C+CV_RH_C-$G29)</f>
        <v>0</v>
      </c>
      <c r="P29" s="204"/>
      <c r="Q29"/>
      <c r="R29"/>
      <c r="S29" s="33"/>
      <c r="U29" s="33"/>
      <c r="W29"/>
      <c r="X29"/>
      <c r="Y29"/>
    </row>
    <row r="30" spans="1:25" ht="15.95" customHeight="1">
      <c r="A30" s="85" t="s">
        <v>64</v>
      </c>
      <c r="B30" s="620" t="s">
        <v>374</v>
      </c>
      <c r="C30" s="620"/>
      <c r="D30" s="620"/>
      <c r="E30" s="620"/>
      <c r="F30" s="620"/>
      <c r="G30" s="195">
        <f>SUM(H30:L30)</f>
        <v>0</v>
      </c>
      <c r="H30" s="36">
        <f>SUMIFS(RH!$V:$V,RH!$H:$H,H$25,RH!$B:$B,$A30,RH!$E:$E,1)  +  SUMIFS(RH!$X:$X,RH!$H:$H,H$25,RH!$B:$B,$A30,RH!$E:$E,1)</f>
        <v>0</v>
      </c>
      <c r="I30" s="36">
        <f>SUMIFS(RH!$V:$V,RH!$H:$H,I$25,RH!$B:$B,$A30,RH!$E:$E,1)  +  SUMIFS(RH!$X:$X,RH!$H:$H,I$25,RH!$B:$B,$A30,RH!$E:$E,1)</f>
        <v>0</v>
      </c>
      <c r="J30" s="36">
        <f>SUMIFS(RH!$V:$V,RH!$H:$H,J$25,RH!$B:$B,$A30,RH!$E:$E,1)  +  SUMIFS(RH!$X:$X,RH!$H:$H,J$25,RH!$B:$B,$A30,RH!$E:$E,1)</f>
        <v>0</v>
      </c>
      <c r="K30" s="36">
        <f>SUMIFS(RH!$V:$V,RH!$H:$H,K$25,RH!$B:$B,$A30,RH!$E:$E,1)  +  SUMIFS(RH!$X:$X,RH!$H:$H,K$25,RH!$B:$B,$A30,RH!$E:$E,1)</f>
        <v>0</v>
      </c>
      <c r="L30" s="36">
        <f>SUMIFS(RH!$V:$V,RH!$H:$H,L$25,RH!$B:$B,$A30,RH!$E:$E,1)  +  SUMIFS(RH!$X:$X,RH!$H:$H,L$25,RH!$B:$B,$A30,RH!$E:$E,1)</f>
        <v>0</v>
      </c>
      <c r="N30" s="43" t="str">
        <f>IF(ABS(CF_RH_EC+CV_RH_EC-$G30)&lt;2,"V","Erro")</f>
        <v>V</v>
      </c>
      <c r="O30" s="438">
        <f>IF($N30="OK","",CF_RH_EC-$G30)</f>
        <v>0</v>
      </c>
      <c r="P30" s="204"/>
      <c r="Q30" s="204"/>
      <c r="S30" s="33"/>
      <c r="U30" s="33"/>
      <c r="W30"/>
      <c r="X30"/>
      <c r="Y30"/>
    </row>
    <row r="31" spans="1:25" ht="9" customHeight="1">
      <c r="B31" s="3"/>
      <c r="C31" s="310"/>
      <c r="D31" s="310"/>
      <c r="E31" s="310"/>
      <c r="F31" s="284"/>
      <c r="G31" s="306"/>
      <c r="H31" s="33"/>
      <c r="I31" s="33"/>
      <c r="J31" s="33"/>
      <c r="K31" s="33"/>
      <c r="L31" s="33"/>
      <c r="N31" s="101"/>
      <c r="S31" s="33"/>
      <c r="U31" s="33"/>
    </row>
    <row r="32" spans="1:25" ht="15.95" customHeight="1">
      <c r="A32" s="85"/>
      <c r="B32" s="620" t="s">
        <v>375</v>
      </c>
      <c r="C32" s="620"/>
      <c r="D32" s="620"/>
      <c r="E32" s="620"/>
      <c r="F32" s="620"/>
      <c r="G32" s="195">
        <f t="shared" ref="G32:G45" si="3">SUM(H32:L32)</f>
        <v>66791</v>
      </c>
      <c r="H32" s="36">
        <f>SUM(H26:H27)</f>
        <v>66791</v>
      </c>
      <c r="I32" s="36">
        <f>SUM(I26:I27)</f>
        <v>0</v>
      </c>
      <c r="J32" s="36">
        <f>SUM(J26:J27)</f>
        <v>0</v>
      </c>
      <c r="K32" s="36">
        <f>SUM(K26:K27)</f>
        <v>0</v>
      </c>
      <c r="L32" s="36">
        <f>SUM(L26:L27)</f>
        <v>0</v>
      </c>
      <c r="N32" s="43" t="str">
        <f>IF(ABS(CF_RH_Total+CV_RH_Total-$G32)&lt;2,"V","Erro")</f>
        <v>V</v>
      </c>
      <c r="O32" s="438">
        <f>IF($N32="OK","",CF_RH_Total+CV_RH_Total-$G32)</f>
        <v>0</v>
      </c>
      <c r="S32" s="33"/>
      <c r="U32" s="33"/>
      <c r="W32"/>
      <c r="X32"/>
      <c r="Y32"/>
    </row>
    <row r="33" spans="2:21" ht="15.95" customHeight="1">
      <c r="B33" s="620" t="s">
        <v>376</v>
      </c>
      <c r="C33" s="620"/>
      <c r="D33" s="620"/>
      <c r="E33" s="620"/>
      <c r="F33" s="620"/>
      <c r="G33" s="195">
        <f t="shared" si="3"/>
        <v>0</v>
      </c>
      <c r="H33" s="36">
        <f>SUMIFS(OCD!$H:$H,OCD!$A:$A,"O",OCD!$F:$F,H$25,OCD!$R:$R,"V")</f>
        <v>0</v>
      </c>
      <c r="I33" s="36">
        <f>SUMIFS(OCD!$H:$H,OCD!$A:$A,"O",OCD!$F:$F,I$25,OCD!$R:$R,"V")</f>
        <v>0</v>
      </c>
      <c r="J33" s="36">
        <f>SUMIFS(OCD!$H:$H,OCD!$A:$A,"O",OCD!$F:$F,J$25,OCD!$R:$R,"V")</f>
        <v>0</v>
      </c>
      <c r="K33" s="36">
        <f>SUMIFS(OCD!$H:$H,OCD!$A:$A,"O",OCD!$F:$F,K$25,OCD!$R:$R,"V")</f>
        <v>0</v>
      </c>
      <c r="L33" s="36">
        <f>SUMIFS(OCD!$H:$H,OCD!$A:$A,"O",OCD!$F:$F,L$25,OCD!$R:$R,"V")</f>
        <v>0</v>
      </c>
      <c r="N33" s="43" t="str">
        <f>IF(ABS(OCO-$G33)&lt;2,"V","Erro")</f>
        <v>V</v>
      </c>
      <c r="O33" s="438">
        <f>IF($N33="OK","",OCO-$G33)</f>
        <v>0</v>
      </c>
      <c r="P33" s="204"/>
      <c r="Q33" s="204"/>
      <c r="S33" s="33"/>
      <c r="U33" s="33"/>
    </row>
    <row r="34" spans="2:21" ht="15.95" customHeight="1">
      <c r="B34" s="620" t="s">
        <v>377</v>
      </c>
      <c r="C34" s="620"/>
      <c r="D34" s="620"/>
      <c r="E34" s="620"/>
      <c r="F34" s="620"/>
      <c r="G34" s="195">
        <f t="shared" si="3"/>
        <v>0</v>
      </c>
      <c r="H34" s="36">
        <f>SUMIFS(OCD!$H:$H,OCD!$A:$A,"I",OCD!$F:$F,H$25,OCD!$R:$R,"V")</f>
        <v>0</v>
      </c>
      <c r="I34" s="36">
        <f>SUMIFS(OCD!$H:$H,OCD!$A:$A,"I",OCD!$F:$F,I$25,OCD!$R:$R,"V")</f>
        <v>0</v>
      </c>
      <c r="J34" s="36">
        <f>SUMIFS(OCD!$H:$H,OCD!$A:$A,"I",OCD!$F:$F,J$25,OCD!$R:$R,"V")</f>
        <v>0</v>
      </c>
      <c r="K34" s="36">
        <f>SUMIFS(OCD!$H:$H,OCD!$A:$A,"I",OCD!$F:$F,K$25,OCD!$R:$R,"V")</f>
        <v>0</v>
      </c>
      <c r="L34" s="36">
        <f>SUMIFS(OCD!$H:$H,OCD!$A:$A,"I",OCD!$F:$F,L$25,OCD!$R:$R,"V")</f>
        <v>0</v>
      </c>
      <c r="N34" s="43" t="str">
        <f>IF(ABS(INV-$G34)&lt;2,"V","Erro")</f>
        <v>V</v>
      </c>
      <c r="O34" s="438">
        <f>IF($N34="OK","",INV-$G34)</f>
        <v>0</v>
      </c>
      <c r="P34" s="204"/>
      <c r="Q34" s="204"/>
      <c r="S34" s="33"/>
      <c r="U34" s="33"/>
    </row>
    <row r="35" spans="2:21" ht="15.95" customHeight="1">
      <c r="B35" s="620" t="s">
        <v>378</v>
      </c>
      <c r="C35" s="620"/>
      <c r="D35" s="620"/>
      <c r="E35" s="620"/>
      <c r="F35" s="620"/>
      <c r="G35" s="195">
        <f t="shared" si="3"/>
        <v>0</v>
      </c>
      <c r="H35" s="36">
        <f>SUMIFS(RH!$W:$W,RH!$H:$H,H$25,RH!$E:$E,1)</f>
        <v>0</v>
      </c>
      <c r="I35" s="36">
        <f>SUMIFS(RH!$W:$W,RH!$H:$H,I$25,RH!$E:$E,1)</f>
        <v>0</v>
      </c>
      <c r="J35" s="36">
        <f>SUMIFS(RH!$W:$W,RH!$H:$H,J$25,RH!$E:$E,1)</f>
        <v>0</v>
      </c>
      <c r="K35" s="36">
        <f>SUMIFS(RH!$W:$W,RH!$H:$H,K$25,RH!$E:$E,1)</f>
        <v>0</v>
      </c>
      <c r="L35" s="36">
        <f>SUMIFS(RH!$W:$W,RH!$H:$H,L$25,RH!$E:$E,1)</f>
        <v>0</v>
      </c>
      <c r="N35" s="43" t="str">
        <f>IF(ABS(CO_RH_Total-$G35)&lt;2,"V","Erro")</f>
        <v>V</v>
      </c>
      <c r="O35" s="438">
        <f>IF($N35="OK","",CO_RH_Total-$G35)</f>
        <v>0</v>
      </c>
      <c r="P35" s="204"/>
      <c r="Q35" s="204"/>
      <c r="S35" s="33"/>
      <c r="U35" s="33"/>
    </row>
    <row r="36" spans="2:21" ht="15.95" customHeight="1">
      <c r="B36" s="620" t="s">
        <v>379</v>
      </c>
      <c r="C36" s="620"/>
      <c r="D36" s="620"/>
      <c r="E36" s="620"/>
      <c r="F36" s="620"/>
      <c r="G36" s="195">
        <f t="shared" si="3"/>
        <v>13358</v>
      </c>
      <c r="H36" s="36">
        <f>IFERROR(ROUND((H32  +  H33  +  H35  -  SUMIFS(OCD!$H:$H,OCD!$F:$F,H$25,OCD!$G:$G,"Subcontratos",OCD!$R:$R,"V"))  *  VLOOKUP(H$25,Custos_Estrutura,COLUMN(Parametros_Orcam!$C$1),0),0),0)</f>
        <v>13358</v>
      </c>
      <c r="I36" s="36">
        <f>IFERROR(ROUND((I32  +  I33  +  I35  -  SUMIFS(OCD!$H:$H,OCD!$F:$F,I$25,OCD!$G:$G,"Subcontratos",OCD!$R:$R,"V"))  *  VLOOKUP(I$25,Custos_Estrutura,COLUMN(Parametros_Orcam!$C$1),0),0),0)</f>
        <v>0</v>
      </c>
      <c r="J36" s="36">
        <f>IFERROR(ROUND((J32  +  J33  +  J35  -  SUMIFS(OCD!$H:$H,OCD!$F:$F,J$25,OCD!$G:$G,"Subcontratos",OCD!$R:$R,"V"))  *  VLOOKUP(J$25,Custos_Estrutura,COLUMN(Parametros_Orcam!$C$1),0),0),0)</f>
        <v>0</v>
      </c>
      <c r="K36" s="36">
        <f>IFERROR(ROUND((K32  +  K33  +  K35  -  SUMIFS(OCD!$H:$H,OCD!$F:$F,K$25,OCD!$G:$G,"Subcontratos",OCD!$R:$R,"V"))  *  VLOOKUP(K$25,Custos_Estrutura,COLUMN(Parametros_Orcam!$C$1),0),0),0)</f>
        <v>0</v>
      </c>
      <c r="L36" s="36">
        <f>IFERROR(ROUND((L32  +  L33  +  L35  -  SUMIFS(OCD!$H:$H,OCD!$F:$F,L$25,OCD!$G:$G,"Subcontratos",OCD!$R:$R,"V"))  *  VLOOKUP(L$25,Custos_Estrutura,COLUMN(Parametros_Orcam!$C$1),0),0),0)</f>
        <v>0</v>
      </c>
      <c r="N36" s="43"/>
      <c r="P36" s="205"/>
      <c r="Q36" s="205"/>
      <c r="R36" s="205"/>
      <c r="S36" s="33"/>
      <c r="T36" s="205"/>
      <c r="U36" s="33"/>
    </row>
    <row r="37" spans="2:21" ht="15.95" customHeight="1">
      <c r="B37" s="620" t="s">
        <v>380</v>
      </c>
      <c r="C37" s="620"/>
      <c r="D37" s="620"/>
      <c r="E37" s="620"/>
      <c r="F37" s="620"/>
      <c r="G37" s="195">
        <f t="shared" si="3"/>
        <v>3333</v>
      </c>
      <c r="H37" s="36">
        <f>IFERROR(ROUND(SUMIFS(RH!$T$10:$T$64,RH!$H$10:$H$64,H$25,RH!$B$10:$B$64,"C")  *  VLOOKUP(H$25,Custos_Estrutura,COLUMN(Parametros_Orcam!$D$1),0),0),0)</f>
        <v>3333</v>
      </c>
      <c r="I37" s="36">
        <f>IFERROR(ROUND(SUMIFS(RH!$T$10:$T$64,RH!$H$10:$H$64,I$25,RH!$B$10:$B$64,"C")  *  VLOOKUP(I$25,Custos_Estrutura,COLUMN(Parametros_Orcam!$D$1),0),0),0)</f>
        <v>0</v>
      </c>
      <c r="J37" s="36">
        <f>IFERROR(ROUND(SUMIFS(RH!$T$10:$T$64,RH!$H$10:$H$64,J$25,RH!$B$10:$B$64,"C")  *  VLOOKUP(J$25,Custos_Estrutura,COLUMN(Parametros_Orcam!$D$1),0),0),0)</f>
        <v>0</v>
      </c>
      <c r="K37" s="36">
        <f>IFERROR(ROUND(SUMIFS(RH!$T$10:$T$64,RH!$H$10:$H$64,K$25,RH!$B$10:$B$64,"C")  *  VLOOKUP(K$25,Custos_Estrutura,COLUMN(Parametros_Orcam!$D$1),0),0),0)</f>
        <v>0</v>
      </c>
      <c r="L37" s="36">
        <f>IFERROR(ROUND(SUMIFS(RH!$T$10:$T$64,RH!$H$10:$H$64,L$25,RH!$B$10:$B$64,"C")  *  VLOOKUP(L$25,Custos_Estrutura,COLUMN(Parametros_Orcam!$D$1),0),0),0)</f>
        <v>0</v>
      </c>
      <c r="N37" s="43"/>
      <c r="P37" s="204"/>
      <c r="Q37" s="204"/>
      <c r="S37" s="33"/>
      <c r="U37" s="33"/>
    </row>
    <row r="38" spans="2:21" ht="9" customHeight="1">
      <c r="B38" s="3"/>
      <c r="C38" s="310"/>
      <c r="D38" s="310"/>
      <c r="E38" s="310"/>
      <c r="F38" s="284"/>
      <c r="G38" s="306"/>
      <c r="H38" s="33"/>
      <c r="I38" s="33"/>
      <c r="J38" s="33"/>
      <c r="K38" s="33"/>
      <c r="L38" s="33"/>
      <c r="N38" s="211"/>
      <c r="S38" s="33"/>
      <c r="U38" s="33"/>
    </row>
    <row r="39" spans="2:21" ht="15.95" customHeight="1">
      <c r="B39" s="621" t="s">
        <v>381</v>
      </c>
      <c r="C39" s="622"/>
      <c r="D39" s="622"/>
      <c r="E39" s="622"/>
      <c r="F39" s="623"/>
      <c r="G39" s="195">
        <f t="shared" si="3"/>
        <v>0</v>
      </c>
      <c r="H39" s="36">
        <f>SUMIFS(VAL!$H:$H,VAL!$F:$F,H$25,VAL!$R:$R,"V")</f>
        <v>0</v>
      </c>
      <c r="I39" s="36">
        <f>SUMIFS(VAL!$H:$H,VAL!$F:$F,I$25,VAL!$R:$R,"V")</f>
        <v>0</v>
      </c>
      <c r="J39" s="36">
        <f>SUMIFS(VAL!$H:$H,VAL!$F:$F,J$25,VAL!$R:$R,"V")</f>
        <v>0</v>
      </c>
      <c r="K39" s="36">
        <f>SUMIFS(VAL!$H:$H,VAL!$F:$F,K$25,VAL!$R:$R,"V")</f>
        <v>0</v>
      </c>
      <c r="L39" s="36">
        <f>SUMIFS(VAL!$H:$H,VAL!$F:$F,L$25,VAL!$R:$R,"V")</f>
        <v>0</v>
      </c>
      <c r="N39" s="43" t="str">
        <f>IF(ABS(VAL_RES+VAL_LAB-$G39)&lt;2,"V","Erro")</f>
        <v>V</v>
      </c>
      <c r="O39" s="438">
        <f>IF($N39="OK","",VAL_RES+VAL_LAB-$G39)</f>
        <v>0</v>
      </c>
      <c r="P39" s="204"/>
      <c r="Q39" s="204"/>
      <c r="S39" s="33"/>
      <c r="U39" s="33"/>
    </row>
    <row r="40" spans="2:21" ht="9" customHeight="1">
      <c r="B40" s="3"/>
      <c r="C40" s="310"/>
      <c r="D40" s="310"/>
      <c r="E40" s="310"/>
      <c r="F40" s="284"/>
      <c r="G40" s="306"/>
      <c r="H40" s="33"/>
      <c r="I40" s="33"/>
      <c r="J40" s="33"/>
      <c r="K40" s="33"/>
      <c r="L40" s="33"/>
      <c r="N40" s="211"/>
      <c r="S40" s="33"/>
      <c r="U40" s="33"/>
    </row>
    <row r="41" spans="2:21" ht="20.100000000000001" customHeight="1">
      <c r="B41" s="3"/>
      <c r="C41" s="309"/>
      <c r="D41" s="309"/>
      <c r="E41" s="309"/>
      <c r="F41" s="24" t="s">
        <v>382</v>
      </c>
      <c r="G41" s="41">
        <f>SUM(G32:G37)</f>
        <v>83482</v>
      </c>
      <c r="H41" s="41">
        <f>SUM(H32:H37)</f>
        <v>83482</v>
      </c>
      <c r="I41" s="41">
        <f t="shared" ref="I41:K41" si="4">SUM(I32:I37)</f>
        <v>0</v>
      </c>
      <c r="J41" s="41">
        <f t="shared" si="4"/>
        <v>0</v>
      </c>
      <c r="K41" s="41">
        <f t="shared" si="4"/>
        <v>0</v>
      </c>
      <c r="L41" s="41">
        <f>SUM(L32:L39)</f>
        <v>0</v>
      </c>
      <c r="N41" s="211"/>
      <c r="O41" s="506"/>
      <c r="P41" s="204"/>
      <c r="S41" s="33"/>
      <c r="U41" s="33"/>
    </row>
    <row r="42" spans="2:21" ht="9" customHeight="1">
      <c r="B42" s="3"/>
      <c r="C42" s="310"/>
      <c r="D42" s="310"/>
      <c r="E42" s="310"/>
      <c r="F42" s="284"/>
      <c r="G42" s="306"/>
      <c r="H42" s="306"/>
      <c r="I42" s="306"/>
      <c r="J42" s="306"/>
      <c r="K42" s="306"/>
      <c r="L42" s="306"/>
      <c r="N42" s="211"/>
      <c r="S42" s="33"/>
      <c r="U42" s="33"/>
    </row>
    <row r="43" spans="2:21" ht="20.100000000000001" customHeight="1">
      <c r="B43" s="3"/>
      <c r="C43" s="309"/>
      <c r="D43" s="309"/>
      <c r="E43" s="309"/>
      <c r="F43" s="24" t="s">
        <v>383</v>
      </c>
      <c r="G43" s="41">
        <f t="shared" ca="1" si="3"/>
        <v>119954</v>
      </c>
      <c r="H43" s="41">
        <f ca="1">Indicadores_Proposta!E$79</f>
        <v>119954</v>
      </c>
      <c r="I43" s="41">
        <f ca="1">Indicadores_Proposta!F$79</f>
        <v>0</v>
      </c>
      <c r="J43" s="41">
        <f ca="1">Indicadores_Proposta!G$79</f>
        <v>0</v>
      </c>
      <c r="K43" s="41">
        <f ca="1">Indicadores_Proposta!H$79</f>
        <v>0</v>
      </c>
      <c r="L43" s="41">
        <f ca="1">Indicadores_Proposta!I$79</f>
        <v>0</v>
      </c>
      <c r="N43" s="212" t="s">
        <v>384</v>
      </c>
      <c r="O43" s="506"/>
      <c r="P43" s="204"/>
      <c r="S43" s="33"/>
      <c r="U43" s="33"/>
    </row>
    <row r="44" spans="2:21" ht="9" customHeight="1">
      <c r="B44" s="3"/>
      <c r="C44" s="310"/>
      <c r="D44" s="310"/>
      <c r="E44" s="310"/>
      <c r="F44" s="284"/>
      <c r="G44" s="306"/>
      <c r="H44" s="306"/>
      <c r="I44" s="306"/>
      <c r="J44" s="306"/>
      <c r="K44" s="306"/>
      <c r="L44" s="306"/>
      <c r="N44" s="211"/>
      <c r="S44" s="33"/>
      <c r="U44" s="33"/>
    </row>
    <row r="45" spans="2:21" ht="20.100000000000001" customHeight="1">
      <c r="B45" s="3"/>
      <c r="C45" s="309"/>
      <c r="D45" s="309"/>
      <c r="E45" s="309"/>
      <c r="F45" s="24" t="s">
        <v>385</v>
      </c>
      <c r="G45" s="41">
        <f t="shared" ca="1" si="3"/>
        <v>36472</v>
      </c>
      <c r="H45" s="41">
        <f ca="1">H43-H41</f>
        <v>36472</v>
      </c>
      <c r="I45" s="41">
        <f t="shared" ref="I45:L45" ca="1" si="5">I43-I41</f>
        <v>0</v>
      </c>
      <c r="J45" s="41">
        <f t="shared" ca="1" si="5"/>
        <v>0</v>
      </c>
      <c r="K45" s="41">
        <f t="shared" ca="1" si="5"/>
        <v>0</v>
      </c>
      <c r="L45" s="41">
        <f t="shared" ca="1" si="5"/>
        <v>0</v>
      </c>
      <c r="N45" s="211"/>
      <c r="O45" s="506"/>
      <c r="P45" s="204"/>
      <c r="S45" s="33"/>
      <c r="U45" s="33"/>
    </row>
    <row r="46" spans="2:21" ht="20.100000000000001" customHeight="1">
      <c r="B46" s="3"/>
      <c r="C46" s="309"/>
      <c r="D46" s="309"/>
      <c r="E46" s="309"/>
      <c r="F46" s="24" t="s">
        <v>386</v>
      </c>
      <c r="G46" s="194">
        <f ca="1">IFERROR(IF(G$43=0,"",G$43/G$41-1),"")</f>
        <v>0.43688459787738676</v>
      </c>
      <c r="H46" s="194">
        <f ca="1">IFERROR(IF(H$43=0,"",H$43/H$41-1),"")</f>
        <v>0.43688459787738676</v>
      </c>
      <c r="I46" s="194" t="str">
        <f t="shared" ref="I46:L46" ca="1" si="6">IFERROR(IF(I$43=0,"",I$43/I$41-1),"")</f>
        <v/>
      </c>
      <c r="J46" s="194" t="str">
        <f t="shared" ca="1" si="6"/>
        <v/>
      </c>
      <c r="K46" s="194" t="str">
        <f t="shared" ca="1" si="6"/>
        <v/>
      </c>
      <c r="L46" s="194" t="str">
        <f t="shared" ca="1" si="6"/>
        <v/>
      </c>
      <c r="N46" s="211"/>
      <c r="O46" s="506"/>
      <c r="P46" s="376"/>
      <c r="S46" s="33"/>
      <c r="U46" s="33"/>
    </row>
    <row r="47" spans="2:21" ht="15.75" customHeight="1">
      <c r="C47" s="3"/>
      <c r="D47" s="3"/>
      <c r="E47" s="3"/>
    </row>
    <row r="48" spans="2:21" ht="30" customHeight="1">
      <c r="B48" s="409"/>
      <c r="C48" s="409"/>
      <c r="D48" s="409"/>
      <c r="E48" s="409"/>
      <c r="F48" s="409"/>
      <c r="G48" s="405" t="s">
        <v>387</v>
      </c>
      <c r="H48" s="409"/>
      <c r="I48" s="409"/>
      <c r="J48" s="409"/>
      <c r="K48" s="409"/>
      <c r="L48" s="409"/>
      <c r="N48" s="212"/>
    </row>
    <row r="49" spans="1:19" ht="24.75" customHeight="1">
      <c r="C49" s="631"/>
      <c r="D49" s="631"/>
      <c r="E49" s="631"/>
      <c r="F49" s="631"/>
      <c r="G49" s="32" t="s">
        <v>352</v>
      </c>
      <c r="H49" s="38" t="str">
        <f>Centro_Prop</f>
        <v>CESE</v>
      </c>
      <c r="I49" s="38">
        <f>Centro1</f>
        <v>0</v>
      </c>
      <c r="J49" s="38">
        <f>Centro2</f>
        <v>0</v>
      </c>
      <c r="K49" s="38">
        <f>Centro3</f>
        <v>0</v>
      </c>
      <c r="L49" s="38">
        <f>Centro4</f>
        <v>0</v>
      </c>
    </row>
    <row r="50" spans="1:19" ht="15.95" customHeight="1">
      <c r="B50" s="627" t="s">
        <v>388</v>
      </c>
      <c r="C50" s="627"/>
      <c r="D50" s="621" t="s">
        <v>389</v>
      </c>
      <c r="E50" s="622"/>
      <c r="F50" s="623"/>
      <c r="G50" s="195">
        <f>SUM(G$32:G$34)</f>
        <v>66791</v>
      </c>
      <c r="H50" s="36">
        <f t="shared" ref="H50:L50" si="7">SUM(H$32:H$34)</f>
        <v>66791</v>
      </c>
      <c r="I50" s="36">
        <f t="shared" si="7"/>
        <v>0</v>
      </c>
      <c r="J50" s="36">
        <f t="shared" si="7"/>
        <v>0</v>
      </c>
      <c r="K50" s="36">
        <f t="shared" si="7"/>
        <v>0</v>
      </c>
      <c r="L50" s="36">
        <f t="shared" si="7"/>
        <v>0</v>
      </c>
      <c r="N50" s="212" t="s">
        <v>390</v>
      </c>
      <c r="P50" s="16"/>
    </row>
    <row r="51" spans="1:19" ht="15.95" customHeight="1">
      <c r="B51" s="627"/>
      <c r="C51" s="627"/>
      <c r="D51" s="621" t="s">
        <v>391</v>
      </c>
      <c r="E51" s="622"/>
      <c r="F51" s="623"/>
      <c r="G51" s="195">
        <f t="shared" ref="G51:L51" si="8">SUM(G$32:G$35)</f>
        <v>66791</v>
      </c>
      <c r="H51" s="36">
        <f t="shared" si="8"/>
        <v>66791</v>
      </c>
      <c r="I51" s="36">
        <f t="shared" si="8"/>
        <v>0</v>
      </c>
      <c r="J51" s="36">
        <f t="shared" si="8"/>
        <v>0</v>
      </c>
      <c r="K51" s="36">
        <f t="shared" si="8"/>
        <v>0</v>
      </c>
      <c r="L51" s="36">
        <f t="shared" si="8"/>
        <v>0</v>
      </c>
      <c r="N51" s="212" t="s">
        <v>392</v>
      </c>
    </row>
    <row r="52" spans="1:19" ht="15.95" customHeight="1">
      <c r="B52" s="627"/>
      <c r="C52" s="627"/>
      <c r="D52" s="628" t="s">
        <v>393</v>
      </c>
      <c r="E52" s="629"/>
      <c r="F52" s="630"/>
      <c r="G52" s="41">
        <f t="shared" ref="G52:L52" si="9">SUM(G$32:G$37)</f>
        <v>83482</v>
      </c>
      <c r="H52" s="36">
        <f t="shared" si="9"/>
        <v>83482</v>
      </c>
      <c r="I52" s="36">
        <f t="shared" si="9"/>
        <v>0</v>
      </c>
      <c r="J52" s="36">
        <f t="shared" si="9"/>
        <v>0</v>
      </c>
      <c r="K52" s="36">
        <f t="shared" si="9"/>
        <v>0</v>
      </c>
      <c r="L52" s="36">
        <f t="shared" si="9"/>
        <v>0</v>
      </c>
      <c r="N52" s="212" t="s">
        <v>394</v>
      </c>
    </row>
    <row r="53" spans="1:19" ht="9" customHeight="1">
      <c r="C53" s="3"/>
      <c r="D53" s="625"/>
      <c r="E53" s="625"/>
      <c r="F53" s="625"/>
      <c r="G53" s="306"/>
      <c r="H53" s="33"/>
      <c r="I53" s="33"/>
      <c r="J53" s="33"/>
      <c r="K53" s="33"/>
      <c r="L53" s="33"/>
    </row>
    <row r="54" spans="1:19" ht="15.95" customHeight="1">
      <c r="B54" s="627" t="s">
        <v>395</v>
      </c>
      <c r="C54" s="627"/>
      <c r="D54" s="621" t="s">
        <v>396</v>
      </c>
      <c r="E54" s="622"/>
      <c r="F54" s="623"/>
      <c r="G54" s="195">
        <f t="shared" ref="G54:G56" ca="1" si="10">SUM(H54:L54)</f>
        <v>53163</v>
      </c>
      <c r="H54" s="36">
        <f t="shared" ref="H54:L56" ca="1" si="11">H$43-H50</f>
        <v>53163</v>
      </c>
      <c r="I54" s="36">
        <f t="shared" ca="1" si="11"/>
        <v>0</v>
      </c>
      <c r="J54" s="36">
        <f t="shared" ca="1" si="11"/>
        <v>0</v>
      </c>
      <c r="K54" s="36">
        <f t="shared" ca="1" si="11"/>
        <v>0</v>
      </c>
      <c r="L54" s="36">
        <f t="shared" ca="1" si="11"/>
        <v>0</v>
      </c>
    </row>
    <row r="55" spans="1:19" ht="15.95" customHeight="1">
      <c r="B55" s="627"/>
      <c r="C55" s="627"/>
      <c r="D55" s="621" t="s">
        <v>397</v>
      </c>
      <c r="E55" s="622"/>
      <c r="F55" s="623"/>
      <c r="G55" s="195">
        <f t="shared" ca="1" si="10"/>
        <v>53163</v>
      </c>
      <c r="H55" s="36">
        <f t="shared" ca="1" si="11"/>
        <v>53163</v>
      </c>
      <c r="I55" s="36">
        <f t="shared" ca="1" si="11"/>
        <v>0</v>
      </c>
      <c r="J55" s="36">
        <f t="shared" ca="1" si="11"/>
        <v>0</v>
      </c>
      <c r="K55" s="36">
        <f t="shared" ca="1" si="11"/>
        <v>0</v>
      </c>
      <c r="L55" s="36">
        <f t="shared" ca="1" si="11"/>
        <v>0</v>
      </c>
    </row>
    <row r="56" spans="1:19" ht="15.95" customHeight="1">
      <c r="B56" s="627"/>
      <c r="C56" s="627"/>
      <c r="D56" s="628" t="s">
        <v>398</v>
      </c>
      <c r="E56" s="629"/>
      <c r="F56" s="630"/>
      <c r="G56" s="41">
        <f t="shared" ca="1" si="10"/>
        <v>36472</v>
      </c>
      <c r="H56" s="36">
        <f t="shared" ca="1" si="11"/>
        <v>36472</v>
      </c>
      <c r="I56" s="36">
        <f t="shared" ca="1" si="11"/>
        <v>0</v>
      </c>
      <c r="J56" s="36">
        <f t="shared" ca="1" si="11"/>
        <v>0</v>
      </c>
      <c r="K56" s="36">
        <f t="shared" ca="1" si="11"/>
        <v>0</v>
      </c>
      <c r="L56" s="36">
        <f t="shared" ca="1" si="11"/>
        <v>0</v>
      </c>
    </row>
    <row r="57" spans="1:19" ht="9" customHeight="1">
      <c r="C57" s="3"/>
      <c r="D57" s="625"/>
      <c r="E57" s="625"/>
      <c r="F57" s="625"/>
      <c r="G57" s="306"/>
      <c r="H57" s="33"/>
      <c r="I57" s="33"/>
      <c r="J57" s="33"/>
      <c r="K57" s="33"/>
      <c r="L57" s="33"/>
    </row>
    <row r="58" spans="1:19" ht="15.95" customHeight="1">
      <c r="B58" s="627" t="s">
        <v>399</v>
      </c>
      <c r="C58" s="627"/>
      <c r="D58" s="621" t="s">
        <v>396</v>
      </c>
      <c r="E58" s="622"/>
      <c r="F58" s="623"/>
      <c r="G58" s="194">
        <f ca="1">IF(OR(G$43=0,G50&lt;0.01),"",G$43/G50-1)</f>
        <v>0.79596053360482699</v>
      </c>
      <c r="H58" s="35">
        <f t="shared" ref="H58:L60" ca="1" si="12">IFERROR(IF(H$43=0,"",H$43/H50-1),"")</f>
        <v>0.79596053360482699</v>
      </c>
      <c r="I58" s="35" t="str">
        <f t="shared" ca="1" si="12"/>
        <v/>
      </c>
      <c r="J58" s="35" t="str">
        <f t="shared" ca="1" si="12"/>
        <v/>
      </c>
      <c r="K58" s="35" t="str">
        <f t="shared" ca="1" si="12"/>
        <v/>
      </c>
      <c r="L58" s="35" t="str">
        <f t="shared" ca="1" si="12"/>
        <v/>
      </c>
      <c r="N58" s="44"/>
      <c r="O58" s="507"/>
      <c r="P58" s="206"/>
      <c r="Q58" s="206"/>
      <c r="R58" s="207"/>
      <c r="S58" s="207"/>
    </row>
    <row r="59" spans="1:19" ht="15.95" customHeight="1">
      <c r="B59" s="627"/>
      <c r="C59" s="627"/>
      <c r="D59" s="621" t="s">
        <v>397</v>
      </c>
      <c r="E59" s="622"/>
      <c r="F59" s="623"/>
      <c r="G59" s="194">
        <f ca="1">IF(OR(G$43=0,G51&lt;0.01),"",G$43/G51-1)</f>
        <v>0.79596053360482699</v>
      </c>
      <c r="H59" s="35">
        <f t="shared" ca="1" si="12"/>
        <v>0.79596053360482699</v>
      </c>
      <c r="I59" s="35" t="str">
        <f t="shared" ca="1" si="12"/>
        <v/>
      </c>
      <c r="J59" s="35" t="str">
        <f t="shared" ca="1" si="12"/>
        <v/>
      </c>
      <c r="K59" s="35" t="str">
        <f t="shared" ca="1" si="12"/>
        <v/>
      </c>
      <c r="L59" s="35" t="str">
        <f t="shared" ca="1" si="12"/>
        <v/>
      </c>
      <c r="N59" s="44"/>
      <c r="O59" s="507"/>
      <c r="P59" s="206"/>
      <c r="Q59" s="206"/>
      <c r="R59" s="207"/>
      <c r="S59" s="207"/>
    </row>
    <row r="60" spans="1:19" ht="15.95" customHeight="1">
      <c r="B60" s="627"/>
      <c r="C60" s="627"/>
      <c r="D60" s="628" t="s">
        <v>398</v>
      </c>
      <c r="E60" s="629"/>
      <c r="F60" s="630"/>
      <c r="G60" s="194">
        <f ca="1">IF(OR(G$43=0,G52&lt;0.01),"",G$43/G52-1)</f>
        <v>0.43688459787738676</v>
      </c>
      <c r="H60" s="35">
        <f t="shared" ca="1" si="12"/>
        <v>0.43688459787738676</v>
      </c>
      <c r="I60" s="35" t="str">
        <f t="shared" ca="1" si="12"/>
        <v/>
      </c>
      <c r="J60" s="35" t="str">
        <f t="shared" ca="1" si="12"/>
        <v/>
      </c>
      <c r="K60" s="35" t="str">
        <f t="shared" ca="1" si="12"/>
        <v/>
      </c>
      <c r="L60" s="35" t="str">
        <f t="shared" ca="1" si="12"/>
        <v/>
      </c>
      <c r="N60" s="44"/>
      <c r="O60" s="507"/>
      <c r="P60" s="206"/>
      <c r="Q60" s="206"/>
      <c r="R60" s="207"/>
      <c r="S60" s="207"/>
    </row>
    <row r="61" spans="1:19" ht="15.95" customHeight="1">
      <c r="A61" s="55"/>
      <c r="B61" s="55"/>
      <c r="C61" s="55"/>
      <c r="D61" s="4"/>
      <c r="E61" s="4"/>
      <c r="N61" s="44"/>
      <c r="O61" s="507"/>
      <c r="P61" s="206"/>
      <c r="Q61" s="5"/>
      <c r="R61" s="5"/>
      <c r="S61" s="5"/>
    </row>
    <row r="62" spans="1:19" s="4" customFormat="1" ht="20.100000000000001" customHeight="1">
      <c r="A62" s="55"/>
      <c r="B62" s="234" t="s">
        <v>187</v>
      </c>
      <c r="E62" s="25"/>
      <c r="F62" s="24"/>
      <c r="I62" s="24"/>
      <c r="K62" s="196"/>
      <c r="L62" s="232"/>
      <c r="M62" s="340"/>
      <c r="N62" s="101"/>
      <c r="O62" s="438"/>
      <c r="P62" s="101"/>
      <c r="Q62" s="101"/>
      <c r="R62" s="101"/>
      <c r="S62" s="101"/>
    </row>
    <row r="63" spans="1:19" ht="129.94999999999999" customHeight="1">
      <c r="A63" s="55"/>
      <c r="B63" s="606"/>
      <c r="C63" s="606"/>
      <c r="D63" s="606"/>
      <c r="E63" s="606"/>
      <c r="F63" s="606"/>
      <c r="G63" s="606"/>
      <c r="H63" s="606"/>
      <c r="I63" s="606"/>
      <c r="J63" s="606"/>
      <c r="K63" s="606"/>
      <c r="L63" s="606"/>
      <c r="M63" s="399"/>
      <c r="P63" s="5"/>
      <c r="Q63" s="5"/>
      <c r="R63" s="5"/>
      <c r="S63" s="5"/>
    </row>
    <row r="65" spans="1:15" ht="34.5" customHeight="1">
      <c r="A65" s="48"/>
      <c r="B65" s="636" t="s">
        <v>400</v>
      </c>
      <c r="C65" s="636"/>
      <c r="D65" s="636"/>
      <c r="E65" s="636"/>
      <c r="F65" s="636"/>
      <c r="G65" s="636"/>
      <c r="H65" s="636"/>
      <c r="I65" s="636"/>
      <c r="J65" s="636"/>
      <c r="K65" s="636"/>
      <c r="L65" s="636"/>
    </row>
    <row r="66" spans="1:15" s="17" customFormat="1" ht="16.5" customHeight="1">
      <c r="A66" s="89"/>
      <c r="B66" s="634" t="s">
        <v>401</v>
      </c>
      <c r="C66" s="634"/>
      <c r="D66" s="634"/>
      <c r="E66" s="634"/>
      <c r="F66" s="634"/>
      <c r="G66" s="634"/>
      <c r="H66" s="634"/>
      <c r="I66" s="634"/>
      <c r="J66" s="634"/>
      <c r="K66" s="634"/>
      <c r="L66" s="634"/>
      <c r="M66" s="193"/>
      <c r="N66" s="213"/>
      <c r="O66" s="508"/>
    </row>
    <row r="67" spans="1:15" s="17" customFormat="1" ht="36" customHeight="1">
      <c r="A67" s="89"/>
      <c r="B67" s="633" t="s">
        <v>402</v>
      </c>
      <c r="C67" s="633"/>
      <c r="D67" s="633"/>
      <c r="E67" s="633"/>
      <c r="F67" s="633"/>
      <c r="G67" s="633"/>
      <c r="H67" s="633"/>
      <c r="I67" s="633"/>
      <c r="J67" s="633"/>
      <c r="K67" s="633"/>
      <c r="L67" s="633"/>
      <c r="M67" s="193"/>
      <c r="N67" s="213"/>
      <c r="O67" s="508"/>
    </row>
    <row r="68" spans="1:15" s="18" customFormat="1" ht="14.45" customHeight="1">
      <c r="A68" s="90"/>
      <c r="B68" s="634" t="s">
        <v>403</v>
      </c>
      <c r="C68" s="634"/>
      <c r="D68" s="634"/>
      <c r="E68" s="634"/>
      <c r="F68" s="634"/>
      <c r="G68" s="634"/>
      <c r="H68" s="634"/>
      <c r="I68" s="634"/>
      <c r="J68" s="634"/>
      <c r="K68" s="634"/>
      <c r="L68" s="634"/>
      <c r="M68" s="400"/>
      <c r="N68" s="214"/>
      <c r="O68" s="509"/>
    </row>
    <row r="69" spans="1:15" s="17" customFormat="1" ht="36" customHeight="1">
      <c r="A69" s="89"/>
      <c r="B69" s="633" t="s">
        <v>404</v>
      </c>
      <c r="C69" s="633"/>
      <c r="D69" s="633"/>
      <c r="E69" s="633"/>
      <c r="F69" s="633"/>
      <c r="G69" s="633"/>
      <c r="H69" s="633"/>
      <c r="I69" s="633"/>
      <c r="J69" s="633"/>
      <c r="K69" s="633"/>
      <c r="L69" s="633"/>
      <c r="M69" s="193"/>
      <c r="N69" s="213"/>
      <c r="O69" s="508"/>
    </row>
    <row r="70" spans="1:15" s="19" customFormat="1" ht="14.45" customHeight="1">
      <c r="A70" s="89"/>
      <c r="B70" s="634" t="s">
        <v>405</v>
      </c>
      <c r="C70" s="634"/>
      <c r="D70" s="634"/>
      <c r="E70" s="634"/>
      <c r="F70" s="634"/>
      <c r="G70" s="634"/>
      <c r="H70" s="634"/>
      <c r="I70" s="634"/>
      <c r="J70" s="634"/>
      <c r="K70" s="634"/>
      <c r="L70" s="634"/>
      <c r="M70" s="193"/>
      <c r="N70" s="215"/>
      <c r="O70" s="508"/>
    </row>
    <row r="71" spans="1:15" s="17" customFormat="1" ht="36" customHeight="1">
      <c r="A71" s="89"/>
      <c r="B71" s="633" t="s">
        <v>406</v>
      </c>
      <c r="C71" s="633"/>
      <c r="D71" s="633"/>
      <c r="E71" s="633"/>
      <c r="F71" s="633"/>
      <c r="G71" s="633"/>
      <c r="H71" s="633"/>
      <c r="I71" s="633"/>
      <c r="J71" s="633"/>
      <c r="K71" s="633"/>
      <c r="L71" s="633"/>
      <c r="M71" s="193"/>
      <c r="N71" s="213"/>
      <c r="O71" s="508"/>
    </row>
    <row r="72" spans="1:15" s="203" customFormat="1" ht="18.75" customHeight="1">
      <c r="A72" s="193"/>
      <c r="B72" s="635" t="s">
        <v>407</v>
      </c>
      <c r="C72" s="635"/>
      <c r="D72" s="635"/>
      <c r="E72" s="635"/>
      <c r="F72" s="635"/>
      <c r="G72" s="635"/>
      <c r="H72" s="635"/>
      <c r="I72" s="635"/>
      <c r="J72" s="635"/>
      <c r="K72" s="635"/>
      <c r="L72" s="635"/>
      <c r="M72" s="193"/>
      <c r="N72" s="216"/>
      <c r="O72" s="506"/>
    </row>
    <row r="73" spans="1:15" s="17" customFormat="1" ht="36" customHeight="1">
      <c r="A73" s="89"/>
      <c r="B73" s="632" t="s">
        <v>408</v>
      </c>
      <c r="C73" s="632"/>
      <c r="D73" s="632"/>
      <c r="E73" s="632"/>
      <c r="F73" s="632"/>
      <c r="G73" s="632"/>
      <c r="H73" s="632"/>
      <c r="I73" s="632"/>
      <c r="J73" s="632"/>
      <c r="K73" s="632"/>
      <c r="L73" s="632"/>
      <c r="M73" s="193"/>
      <c r="N73" s="213"/>
      <c r="O73" s="508"/>
    </row>
    <row r="74" spans="1:15" s="504" customFormat="1" ht="12.6" hidden="1">
      <c r="A74" s="504" t="s">
        <v>106</v>
      </c>
      <c r="B74" s="504" t="s">
        <v>12</v>
      </c>
      <c r="C74" s="504" t="s">
        <v>12</v>
      </c>
      <c r="D74" s="504" t="s">
        <v>12</v>
      </c>
      <c r="E74" s="504" t="s">
        <v>12</v>
      </c>
      <c r="F74" s="504" t="s">
        <v>12</v>
      </c>
      <c r="G74" s="504" t="s">
        <v>12</v>
      </c>
      <c r="H74" s="504" t="s">
        <v>12</v>
      </c>
      <c r="I74" s="504" t="s">
        <v>12</v>
      </c>
      <c r="J74" s="504" t="str">
        <f>IF(LEN(J$14)&lt;2,"X","V")</f>
        <v>X</v>
      </c>
      <c r="K74" s="504" t="str">
        <f>IF(LEN(K$14)&lt;2,"X","V")</f>
        <v>X</v>
      </c>
      <c r="L74" s="504" t="str">
        <f>IF(LEN(L$14)&lt;2,"X","V")</f>
        <v>X</v>
      </c>
      <c r="O74" s="504" t="str">
        <f>IF(SUM($N$14:$N$40)=0,"X","V")</f>
        <v>X</v>
      </c>
    </row>
  </sheetData>
  <sheetProtection algorithmName="SHA-512" hashValue="Bsz7s1E/5gxk3RfrNiZe6oL1u27uANgW22Q3WzFGxJ80pldqnDL/E3QOov+pnZmqPRlWhhfBHy8EoQAibFgVMQ==" saltValue="c+LYiICWnGnqRux25gIoEQ==" spinCount="100000" sheet="1" objects="1" scenarios="1"/>
  <mergeCells count="50">
    <mergeCell ref="B54:C56"/>
    <mergeCell ref="C49:F49"/>
    <mergeCell ref="B73:L73"/>
    <mergeCell ref="B71:L71"/>
    <mergeCell ref="B67:L67"/>
    <mergeCell ref="B68:L68"/>
    <mergeCell ref="B69:L69"/>
    <mergeCell ref="B70:L70"/>
    <mergeCell ref="B66:L66"/>
    <mergeCell ref="D57:F57"/>
    <mergeCell ref="B63:L63"/>
    <mergeCell ref="B72:L72"/>
    <mergeCell ref="B65:L65"/>
    <mergeCell ref="D58:F58"/>
    <mergeCell ref="D60:F60"/>
    <mergeCell ref="B2:L2"/>
    <mergeCell ref="B12:L12"/>
    <mergeCell ref="D53:F53"/>
    <mergeCell ref="D59:F59"/>
    <mergeCell ref="E3:F3"/>
    <mergeCell ref="E7:G7"/>
    <mergeCell ref="H3:J3"/>
    <mergeCell ref="B58:C60"/>
    <mergeCell ref="B50:C52"/>
    <mergeCell ref="D50:F50"/>
    <mergeCell ref="D51:F51"/>
    <mergeCell ref="D52:F52"/>
    <mergeCell ref="D56:F56"/>
    <mergeCell ref="B26:F26"/>
    <mergeCell ref="D54:F54"/>
    <mergeCell ref="D55:F55"/>
    <mergeCell ref="B30:F30"/>
    <mergeCell ref="B25:F25"/>
    <mergeCell ref="B27:F27"/>
    <mergeCell ref="B32:F32"/>
    <mergeCell ref="B33:F33"/>
    <mergeCell ref="B29:F29"/>
    <mergeCell ref="B34:F34"/>
    <mergeCell ref="B35:F35"/>
    <mergeCell ref="B36:F36"/>
    <mergeCell ref="B37:F37"/>
    <mergeCell ref="B39:F39"/>
    <mergeCell ref="B17:E17"/>
    <mergeCell ref="B18:E18"/>
    <mergeCell ref="B19:E19"/>
    <mergeCell ref="B20:E20"/>
    <mergeCell ref="B13:L13"/>
    <mergeCell ref="B15:E15"/>
    <mergeCell ref="B14:E14"/>
    <mergeCell ref="B16:E16"/>
  </mergeCells>
  <phoneticPr fontId="2" type="noConversion"/>
  <conditionalFormatting sqref="G58:G60">
    <cfRule type="cellIs" dxfId="61" priority="129" stopIfTrue="1" operator="lessThan">
      <formula>0</formula>
    </cfRule>
    <cfRule type="cellIs" dxfId="60" priority="130" stopIfTrue="1" operator="between">
      <formula>0.2</formula>
      <formula>1000</formula>
    </cfRule>
    <cfRule type="cellIs" dxfId="59" priority="131" stopIfTrue="1" operator="between">
      <formula>0.000001</formula>
      <formula>0.2</formula>
    </cfRule>
  </conditionalFormatting>
  <conditionalFormatting sqref="G46">
    <cfRule type="cellIs" dxfId="58" priority="105" stopIfTrue="1" operator="lessThan">
      <formula>0</formula>
    </cfRule>
    <cfRule type="cellIs" dxfId="57" priority="106" stopIfTrue="1" operator="between">
      <formula>0.2</formula>
      <formula>1000</formula>
    </cfRule>
    <cfRule type="cellIs" dxfId="56" priority="107" stopIfTrue="1" operator="between">
      <formula>0.000001</formula>
      <formula>0.2</formula>
    </cfRule>
  </conditionalFormatting>
  <conditionalFormatting sqref="L62">
    <cfRule type="cellIs" dxfId="55" priority="75" operator="equal">
      <formula>"X"</formula>
    </cfRule>
    <cfRule type="cellIs" dxfId="54" priority="76" operator="equal">
      <formula>"F"</formula>
    </cfRule>
    <cfRule type="cellIs" dxfId="53" priority="77" operator="equal">
      <formula>"V"</formula>
    </cfRule>
  </conditionalFormatting>
  <conditionalFormatting sqref="F5:I5">
    <cfRule type="cellIs" dxfId="52" priority="51" operator="equal">
      <formula>0</formula>
    </cfRule>
  </conditionalFormatting>
  <conditionalFormatting sqref="P26">
    <cfRule type="cellIs" dxfId="51" priority="48" operator="between">
      <formula>0.000001</formula>
      <formula>1000000</formula>
    </cfRule>
    <cfRule type="cellIs" dxfId="50" priority="49" operator="equal">
      <formula>"OK"</formula>
    </cfRule>
    <cfRule type="cellIs" dxfId="49" priority="50" stopIfTrue="1" operator="equal">
      <formula>"Erro"</formula>
    </cfRule>
  </conditionalFormatting>
  <conditionalFormatting sqref="G41">
    <cfRule type="expression" dxfId="48" priority="29">
      <formula>LEN($E$5)+LEN($F$5)+LEN($G$5)+LEN($H$5)+LEN($I$5)&lt;5</formula>
    </cfRule>
  </conditionalFormatting>
  <conditionalFormatting sqref="H14 H25 H49">
    <cfRule type="expression" dxfId="47" priority="28">
      <formula>LEN($F$5)+LEN($G$5)+LEN($H$5)+LEN($I$5)&lt;5</formula>
    </cfRule>
  </conditionalFormatting>
  <conditionalFormatting sqref="N1:N1048576">
    <cfRule type="cellIs" dxfId="46" priority="22" operator="equal">
      <formula>"V"</formula>
    </cfRule>
    <cfRule type="cellIs" dxfId="45" priority="23" stopIfTrue="1" operator="equal">
      <formula>"Erro"</formula>
    </cfRule>
  </conditionalFormatting>
  <conditionalFormatting sqref="P24">
    <cfRule type="cellIs" dxfId="44" priority="17" operator="between">
      <formula>0.000001</formula>
      <formula>1000000</formula>
    </cfRule>
    <cfRule type="cellIs" dxfId="43" priority="18" operator="equal">
      <formula>"OK"</formula>
    </cfRule>
    <cfRule type="cellIs" dxfId="42" priority="19" stopIfTrue="1" operator="equal">
      <formula>"Erro"</formula>
    </cfRule>
  </conditionalFormatting>
  <conditionalFormatting sqref="H58:H60">
    <cfRule type="cellIs" dxfId="41" priority="14" stopIfTrue="1" operator="lessThan">
      <formula>0</formula>
    </cfRule>
    <cfRule type="cellIs" dxfId="40" priority="15" stopIfTrue="1" operator="between">
      <formula>0.2</formula>
      <formula>1000</formula>
    </cfRule>
    <cfRule type="cellIs" dxfId="39" priority="16" stopIfTrue="1" operator="between">
      <formula>0.000001</formula>
      <formula>0.2</formula>
    </cfRule>
  </conditionalFormatting>
  <conditionalFormatting sqref="H46">
    <cfRule type="cellIs" dxfId="38" priority="11" stopIfTrue="1" operator="lessThan">
      <formula>0</formula>
    </cfRule>
    <cfRule type="cellIs" dxfId="37" priority="12" stopIfTrue="1" operator="between">
      <formula>0.2</formula>
      <formula>1000</formula>
    </cfRule>
    <cfRule type="cellIs" dxfId="36" priority="13" stopIfTrue="1" operator="between">
      <formula>0.000001</formula>
      <formula>0.2</formula>
    </cfRule>
  </conditionalFormatting>
  <conditionalFormatting sqref="H26:H27 H29:H30 H32:H37 H41 H43 H45:H46 H58:H60 H54:H56 H50:H52 H39 H15:H20 H22">
    <cfRule type="expression" dxfId="35" priority="10">
      <formula>LEN($F$5)+LEN($G$5)+LEN($H$5)+LEN($I$5)&lt;5</formula>
    </cfRule>
  </conditionalFormatting>
  <conditionalFormatting sqref="I58:L60">
    <cfRule type="cellIs" dxfId="34" priority="6" stopIfTrue="1" operator="lessThan">
      <formula>0</formula>
    </cfRule>
    <cfRule type="cellIs" dxfId="33" priority="7" stopIfTrue="1" operator="between">
      <formula>0.2</formula>
      <formula>1000</formula>
    </cfRule>
    <cfRule type="cellIs" dxfId="32" priority="8" stopIfTrue="1" operator="between">
      <formula>0.000001</formula>
      <formula>0.2</formula>
    </cfRule>
  </conditionalFormatting>
  <conditionalFormatting sqref="I46:L46">
    <cfRule type="cellIs" dxfId="31" priority="3" stopIfTrue="1" operator="lessThan">
      <formula>0</formula>
    </cfRule>
    <cfRule type="cellIs" dxfId="30" priority="4" stopIfTrue="1" operator="between">
      <formula>0.2</formula>
      <formula>1000</formula>
    </cfRule>
    <cfRule type="cellIs" dxfId="29" priority="5" stopIfTrue="1" operator="between">
      <formula>0.000001</formula>
      <formula>0.2</formula>
    </cfRule>
  </conditionalFormatting>
  <conditionalFormatting sqref="I26:L27 I29:L30 I32:L37 I41:L41 I43:L43 I45:L46 I58:L60 I54:L56 I50:L52 I39:L39 I15:L20 I22:L22">
    <cfRule type="expression" dxfId="28" priority="2">
      <formula>LEN(F$5)&lt;2</formula>
    </cfRule>
  </conditionalFormatting>
  <dataValidations disablePrompts="1" count="1">
    <dataValidation type="date" allowBlank="1" showInputMessage="1" showErrorMessage="1" errorTitle="Erro" error="Formato de data errado" sqref="E9" xr:uid="{00000000-0002-0000-0700-000001000000}">
      <formula1>36526</formula1>
      <formula2>73051</formula2>
    </dataValidation>
  </dataValidations>
  <printOptions horizontalCentered="1"/>
  <pageMargins left="0.59055118110236227" right="0.39370078740157483" top="0.78740157480314965" bottom="0.23622047244094491" header="0.39370078740157483" footer="0.19685039370078741"/>
  <pageSetup paperSize="9" scale="65" fitToHeight="4" orientation="portrait" horizontalDpi="1200" verticalDpi="1200" r:id="rId1"/>
  <headerFooter>
    <oddHeader>&amp;L&amp;G&amp;C&amp;"Arial,Bold"
&amp;14PROJETO DE SERVIÇOS DE I&amp;&amp;D E CONSULTORIA</oddHeader>
  </headerFooter>
  <rowBreaks count="1" manualBreakCount="1">
    <brk id="63" max="16383" man="1"/>
  </rowBreaks>
  <drawing r:id="rId2"/>
  <legacyDrawingHF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tabColor rgb="FFFFC000"/>
  </sheetPr>
  <dimension ref="A1:AP75"/>
  <sheetViews>
    <sheetView showGridLines="0" zoomScaleNormal="100" workbookViewId="0">
      <pane ySplit="1" topLeftCell="A2" activePane="bottomLeft" state="frozen"/>
      <selection pane="bottomLeft" activeCell="C1" sqref="C1"/>
      <selection sqref="A1:B1"/>
    </sheetView>
  </sheetViews>
  <sheetFormatPr defaultColWidth="9.140625" defaultRowHeight="14.1"/>
  <cols>
    <col min="1" max="1" width="6" style="55" hidden="1" customWidth="1"/>
    <col min="2" max="2" width="9.42578125" style="55" hidden="1" customWidth="1"/>
    <col min="3" max="3" width="23.85546875" style="3" customWidth="1"/>
    <col min="4" max="6" width="13.5703125" style="3" customWidth="1"/>
    <col min="7" max="10" width="13.5703125" style="3" hidden="1" customWidth="1"/>
    <col min="11" max="11" width="13.5703125" style="3" customWidth="1"/>
    <col min="12" max="31" width="8.5703125" style="3" hidden="1" customWidth="1"/>
    <col min="32" max="32" width="1.5703125" style="197" customWidth="1"/>
    <col min="33" max="33" width="4.5703125" style="5" customWidth="1"/>
    <col min="34" max="34" width="9.140625" style="30" customWidth="1"/>
    <col min="35" max="36" width="9.140625" style="3"/>
    <col min="37" max="37" width="9.5703125" style="3" bestFit="1" customWidth="1"/>
    <col min="38" max="16384" width="9.140625" style="3"/>
  </cols>
  <sheetData>
    <row r="1" spans="1:42" ht="24" customHeight="1">
      <c r="C1" s="87" t="s">
        <v>323</v>
      </c>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G1" s="43" t="str">
        <f ca="1">IF(COUNTIFS(AG8:AG48,"Erro")=0,"V","Erro")</f>
        <v>V</v>
      </c>
    </row>
    <row r="2" spans="1:42" s="324" customFormat="1" ht="30" customHeight="1">
      <c r="A2" s="326"/>
      <c r="B2" s="326"/>
      <c r="C2" s="654" t="s">
        <v>409</v>
      </c>
      <c r="D2" s="654"/>
      <c r="E2" s="654"/>
      <c r="F2" s="654"/>
      <c r="G2" s="654"/>
      <c r="H2" s="654"/>
      <c r="I2" s="654"/>
      <c r="J2" s="654"/>
      <c r="K2" s="332"/>
      <c r="L2" s="332"/>
      <c r="M2" s="332"/>
      <c r="N2" s="332"/>
      <c r="O2" s="332"/>
      <c r="P2" s="332"/>
      <c r="Q2" s="332"/>
      <c r="R2" s="332"/>
      <c r="S2" s="332"/>
      <c r="T2" s="332"/>
      <c r="U2" s="332"/>
      <c r="V2" s="332"/>
      <c r="W2" s="332"/>
      <c r="X2" s="332"/>
      <c r="Y2" s="332"/>
      <c r="Z2" s="332"/>
      <c r="AA2" s="332"/>
      <c r="AB2" s="332"/>
      <c r="AC2" s="332"/>
      <c r="AD2" s="332"/>
      <c r="AE2" s="332"/>
      <c r="AF2" s="495"/>
      <c r="AG2" s="325"/>
      <c r="AH2" s="333"/>
    </row>
    <row r="3" spans="1:42" s="14" customFormat="1" ht="15.95" customHeight="1">
      <c r="A3" s="55"/>
      <c r="B3" s="55"/>
      <c r="C3" s="77" t="s">
        <v>202</v>
      </c>
      <c r="D3" s="591" t="str">
        <f>Projeto</f>
        <v>Amorim_OT_F1</v>
      </c>
      <c r="E3" s="592"/>
      <c r="K3"/>
      <c r="L3"/>
      <c r="M3"/>
      <c r="N3"/>
      <c r="O3"/>
      <c r="P3"/>
      <c r="Q3"/>
      <c r="R3"/>
      <c r="S3"/>
      <c r="T3"/>
      <c r="U3"/>
      <c r="V3"/>
      <c r="W3"/>
      <c r="X3"/>
      <c r="Y3"/>
      <c r="Z3"/>
      <c r="AA3"/>
      <c r="AB3"/>
      <c r="AC3"/>
      <c r="AD3"/>
      <c r="AE3"/>
      <c r="AF3" s="496"/>
      <c r="AG3" s="42"/>
      <c r="AH3" s="30"/>
    </row>
    <row r="4" spans="1:42" ht="9" customHeight="1">
      <c r="C4" s="311"/>
      <c r="D4" s="311"/>
      <c r="G4" s="14"/>
      <c r="H4" s="14"/>
      <c r="I4" s="14"/>
      <c r="J4" s="14"/>
      <c r="K4" s="14"/>
      <c r="L4"/>
      <c r="M4"/>
      <c r="N4"/>
      <c r="O4"/>
      <c r="P4"/>
      <c r="Q4"/>
      <c r="R4"/>
      <c r="S4"/>
      <c r="T4"/>
      <c r="U4"/>
      <c r="V4"/>
      <c r="W4"/>
      <c r="X4"/>
      <c r="Y4"/>
      <c r="Z4"/>
      <c r="AA4"/>
      <c r="AB4"/>
      <c r="AC4"/>
      <c r="AD4"/>
      <c r="AE4"/>
      <c r="AG4" s="42"/>
      <c r="AH4" s="3"/>
    </row>
    <row r="5" spans="1:42" ht="15.95" customHeight="1">
      <c r="C5" s="77" t="s">
        <v>203</v>
      </c>
      <c r="D5" s="321">
        <f>Inicio</f>
        <v>46023</v>
      </c>
      <c r="E5" s="77" t="s">
        <v>204</v>
      </c>
      <c r="F5" s="321">
        <f>Fim</f>
        <v>46368</v>
      </c>
      <c r="G5" s="14"/>
      <c r="H5" s="14"/>
      <c r="J5" s="14"/>
      <c r="K5" s="14"/>
      <c r="L5"/>
      <c r="M5"/>
      <c r="N5"/>
      <c r="O5"/>
      <c r="P5"/>
      <c r="Q5"/>
      <c r="R5"/>
      <c r="S5"/>
      <c r="T5"/>
      <c r="U5"/>
      <c r="V5"/>
      <c r="W5"/>
      <c r="X5"/>
      <c r="Y5"/>
      <c r="Z5"/>
      <c r="AA5"/>
      <c r="AB5"/>
      <c r="AC5"/>
      <c r="AD5"/>
      <c r="AE5"/>
      <c r="AG5" s="42"/>
      <c r="AH5" s="3"/>
    </row>
    <row r="6" spans="1:42" ht="9" customHeight="1">
      <c r="C6" s="311"/>
      <c r="F6" s="14"/>
      <c r="G6" s="14"/>
      <c r="H6" s="14"/>
      <c r="J6" s="14"/>
      <c r="K6" s="14"/>
      <c r="L6"/>
      <c r="M6"/>
      <c r="N6"/>
      <c r="O6"/>
      <c r="P6"/>
      <c r="Q6"/>
      <c r="R6"/>
      <c r="S6"/>
      <c r="T6"/>
      <c r="U6"/>
      <c r="V6"/>
      <c r="W6"/>
      <c r="X6"/>
      <c r="Y6"/>
      <c r="Z6"/>
      <c r="AA6"/>
      <c r="AB6"/>
      <c r="AC6"/>
      <c r="AD6"/>
      <c r="AE6"/>
      <c r="AG6" s="42"/>
      <c r="AH6" s="3"/>
    </row>
    <row r="7" spans="1:42" s="14" customFormat="1" ht="15.6">
      <c r="A7" s="55"/>
      <c r="B7" s="55"/>
      <c r="C7" s="77" t="s">
        <v>207</v>
      </c>
      <c r="D7" s="315" t="str">
        <f>Centro_Prop</f>
        <v>CESE</v>
      </c>
      <c r="E7" s="315">
        <f>Centro1</f>
        <v>0</v>
      </c>
      <c r="F7" s="315">
        <f>Centro2</f>
        <v>0</v>
      </c>
      <c r="G7" s="315">
        <f>Centro3</f>
        <v>0</v>
      </c>
      <c r="H7" s="316">
        <f>Centro4</f>
        <v>0</v>
      </c>
      <c r="L7"/>
      <c r="M7"/>
      <c r="N7"/>
      <c r="O7"/>
      <c r="P7"/>
      <c r="Q7"/>
      <c r="R7"/>
      <c r="S7"/>
      <c r="T7"/>
      <c r="U7"/>
      <c r="V7"/>
      <c r="W7"/>
      <c r="X7"/>
      <c r="Y7"/>
      <c r="Z7"/>
      <c r="AA7"/>
      <c r="AB7"/>
      <c r="AC7"/>
      <c r="AD7"/>
      <c r="AE7"/>
      <c r="AF7" s="510"/>
    </row>
    <row r="8" spans="1:42" s="78" customFormat="1" ht="9.9499999999999993" customHeight="1">
      <c r="A8" s="78" t="s">
        <v>101</v>
      </c>
      <c r="B8" s="78" t="s">
        <v>410</v>
      </c>
      <c r="C8" s="78" t="s">
        <v>285</v>
      </c>
      <c r="E8" s="78" t="s">
        <v>411</v>
      </c>
      <c r="K8" s="78" t="s">
        <v>412</v>
      </c>
      <c r="L8" s="78" t="str">
        <f>IF(AND(LEN(L$12)&gt;1,DATE(YEAR(Inicio),VALUE(RIGHT(L$13,1))*3+1,1)-1&gt;=Inicio,DATE(YEAR(Inicio),VALUE(RIGHT(L$25,1)-1)*3+1,1)&lt;=IF(Fim=0,DATE(YEAR(Inicio),12,31),Fim)),L$25,"X")</f>
        <v>T1</v>
      </c>
      <c r="M8" s="78" t="str">
        <f>IF(AND(LEN(L$12)&gt;1,DATE(YEAR(Inicio),VALUE(RIGHT(M$13,1))*3+1,1)-1&gt;=Inicio,DATE(YEAR(Inicio),VALUE(RIGHT(M$25,1)-1)*3+1,1)&lt;=IF(Fim=0,DATE(YEAR(Inicio),12,31),Fim)),M$25,"X")</f>
        <v>T2</v>
      </c>
      <c r="N8" s="78" t="str">
        <f>IF(AND(LEN(L$12)&gt;1,DATE(YEAR(Inicio),VALUE(RIGHT(N$13,1))*3+1,1)-1&gt;=Inicio,DATE(YEAR(Inicio),VALUE(RIGHT(N$25,1)-1)*3+1,1)&lt;=IF(Fim=0,DATE(YEAR(Inicio),12,31),Fim)),N$25,"X")</f>
        <v>T3</v>
      </c>
      <c r="O8" s="78" t="str">
        <f>IF(AND(LEN(L$12)&gt;1,DATE(YEAR(Inicio),VALUE(RIGHT(O$13,1))*3+1,1)-1&gt;=Inicio,DATE(YEAR(Inicio),VALUE(RIGHT(O$25,1)-1)*3+1,1)&lt;=IF(Fim=0,DATE(YEAR(Inicio),12,31),Fim)),O$25,"X")</f>
        <v>T4</v>
      </c>
      <c r="P8" s="78" t="str">
        <f>IF(AND(LEN(P$12)&gt;1,DATE(YEAR(Inicio),VALUE(RIGHT(P$13,1))*3+1,1)-1&gt;=Inicio,DATE(YEAR(Inicio),VALUE(RIGHT(P$25,1)-1)*3+1,1)&lt;=IF(Fim=0,DATE(YEAR(Inicio),12,31),Fim)),P$25,"X")</f>
        <v>X</v>
      </c>
      <c r="Q8" s="78" t="str">
        <f>IF(AND(LEN(P$12)&gt;1,DATE(YEAR(Inicio),VALUE(RIGHT(Q$13,1))*3+1,1)-1&gt;=Inicio,DATE(YEAR(Inicio),VALUE(RIGHT(Q$25,1)-1)*3+1,1)&lt;=IF(Fim=0,DATE(YEAR(Inicio),12,31),Fim)),Q$25,"X")</f>
        <v>X</v>
      </c>
      <c r="R8" s="78" t="str">
        <f>IF(AND(LEN(P$12)&gt;1,DATE(YEAR(Inicio),VALUE(RIGHT(R$13,1))*3+1,1)-1&gt;=Inicio,DATE(YEAR(Inicio),VALUE(RIGHT(R$25,1)-1)*3+1,1)&lt;=IF(Fim=0,DATE(YEAR(Inicio),12,31),Fim)),R$25,"X")</f>
        <v>X</v>
      </c>
      <c r="S8" s="78" t="str">
        <f>IF(AND(LEN(P$12)&gt;1,DATE(YEAR(Inicio),VALUE(RIGHT(S$13,1))*3+1,1)-1&gt;=Inicio,DATE(YEAR(Inicio),VALUE(RIGHT(S$25,1)-1)*3+1,1)&lt;=IF(Fim=0,DATE(YEAR(Inicio),12,31),Fim)),S$25,"X")</f>
        <v>X</v>
      </c>
      <c r="T8" s="78" t="str">
        <f>IF(AND(LEN(T$12)&gt;1,DATE(YEAR(Inicio),VALUE(RIGHT(T$13,1))*3+1,1)-1&gt;=Inicio,DATE(YEAR(Inicio),VALUE(RIGHT(T$25,1)-1)*3+1,1)&lt;=IF(Fim=0,DATE(YEAR(Inicio),12,31),Fim)),T$25,"X")</f>
        <v>X</v>
      </c>
      <c r="U8" s="78" t="str">
        <f>IF(AND(LEN(T$12)&gt;1,DATE(YEAR(Inicio),VALUE(RIGHT(U$13,1))*3+1,1)-1&gt;=Inicio,DATE(YEAR(Inicio),VALUE(RIGHT(U$25,1)-1)*3+1,1)&lt;=IF(Fim=0,DATE(YEAR(Inicio),12,31),Fim)),U$25,"X")</f>
        <v>X</v>
      </c>
      <c r="V8" s="78" t="str">
        <f>IF(AND(LEN(T$12)&gt;1,DATE(YEAR(Inicio),VALUE(RIGHT(V$13,1))*3+1,1)-1&gt;=Inicio,DATE(YEAR(Inicio),VALUE(RIGHT(V$25,1)-1)*3+1,1)&lt;=IF(Fim=0,DATE(YEAR(Inicio),12,31),Fim)),V$25,"X")</f>
        <v>X</v>
      </c>
      <c r="W8" s="78" t="str">
        <f>IF(AND(LEN(T$12)&gt;1,DATE(YEAR(Inicio),VALUE(RIGHT(W$13,1))*3+1,1)-1&gt;=Inicio,DATE(YEAR(Inicio),VALUE(RIGHT(W$25,1)-1)*3+1,1)&lt;=IF(Fim=0,DATE(YEAR(Inicio),12,31),Fim)),W$25,"X")</f>
        <v>X</v>
      </c>
      <c r="X8" s="78" t="str">
        <f>IF(AND(LEN(X$12)&gt;1,DATE(YEAR(Inicio),VALUE(RIGHT(X$13,1))*3+1,1)-1&gt;=Inicio,DATE(YEAR(Inicio),VALUE(RIGHT(X$25,1)-1)*3+1,1)&lt;=IF(Fim=0,DATE(YEAR(Inicio),12,31),Fim)),X$25,"X")</f>
        <v>X</v>
      </c>
      <c r="Y8" s="78" t="str">
        <f>IF(AND(LEN(X$12)&gt;1,DATE(YEAR(Inicio),VALUE(RIGHT(Y$13,1))*3+1,1)-1&gt;=Inicio,DATE(YEAR(Inicio),VALUE(RIGHT(Y$25,1)-1)*3+1,1)&lt;=IF(Fim=0,DATE(YEAR(Inicio),12,31),Fim)),Y$25,"X")</f>
        <v>X</v>
      </c>
      <c r="Z8" s="78" t="str">
        <f>IF(AND(LEN(X$12)&gt;1,DATE(YEAR(Inicio),VALUE(RIGHT(Z$13,1))*3+1,1)-1&gt;=Inicio,DATE(YEAR(Inicio),VALUE(RIGHT(Z$25,1)-1)*3+1,1)&lt;=IF(Fim=0,DATE(YEAR(Inicio),12,31),Fim)),Z$25,"X")</f>
        <v>X</v>
      </c>
      <c r="AA8" s="78" t="str">
        <f>IF(AND(LEN(X$12)&gt;1,DATE(YEAR(Inicio),VALUE(RIGHT(AA$13,1))*3+1,1)-1&gt;=Inicio,DATE(YEAR(Inicio),VALUE(RIGHT(AA$25,1)-1)*3+1,1)&lt;=IF(Fim=0,DATE(YEAR(Inicio),12,31),Fim)),AA$25,"X")</f>
        <v>X</v>
      </c>
      <c r="AB8" s="78" t="str">
        <f>IF(AND(LEN(AB$12)&gt;1,DATE(YEAR(Inicio),VALUE(RIGHT(AB$13,1))*3+1,1)-1&gt;=Inicio,DATE(YEAR(Inicio),VALUE(RIGHT(AB$25,1)-1)*3+1,1)&lt;=IF(Fim=0,DATE(YEAR(Inicio),12,31),Fim)),AB$25,"X")</f>
        <v>X</v>
      </c>
      <c r="AC8" s="78" t="str">
        <f>IF(AND(LEN(AB$12)&gt;1,DATE(YEAR(Inicio),VALUE(RIGHT(AC$13,1))*3+1,1)-1&gt;=Inicio,DATE(YEAR(Inicio),VALUE(RIGHT(AC$25,1)-1)*3+1,1)&lt;=IF(Fim=0,DATE(YEAR(Inicio),12,31),Fim)),AC$25,"X")</f>
        <v>X</v>
      </c>
      <c r="AD8" s="78" t="str">
        <f>IF(AND(LEN(AB$12)&gt;1,DATE(YEAR(Inicio),VALUE(RIGHT(AD$13,1))*3+1,1)-1&gt;=Inicio,DATE(YEAR(Inicio),VALUE(RIGHT(AD$25,1)-1)*3+1,1)&lt;=IF(Fim=0,DATE(YEAR(Inicio),12,31),Fim)),AD$25,"X")</f>
        <v>X</v>
      </c>
      <c r="AE8" s="78" t="str">
        <f>IF(AND(LEN(AB$12)&gt;1,DATE(YEAR(Inicio),VALUE(RIGHT(AE$13,1))*3+1,1)-1&gt;=Inicio,DATE(YEAR(Inicio),VALUE(RIGHT(AE$25,1)-1)*3+1,1)&lt;=IF(Fim=0,DATE(YEAR(Inicio),12,31),Fim)),AE$25,"X")</f>
        <v>X</v>
      </c>
      <c r="AF8" s="78" t="s">
        <v>106</v>
      </c>
    </row>
    <row r="9" spans="1:42" ht="30" customHeight="1">
      <c r="C9" s="556" t="s">
        <v>413</v>
      </c>
      <c r="D9" s="556"/>
      <c r="E9" s="556"/>
      <c r="F9" s="556"/>
      <c r="G9" s="556"/>
      <c r="H9" s="556"/>
      <c r="I9" s="556"/>
      <c r="J9" s="556"/>
      <c r="K9" s="556"/>
      <c r="L9" s="556"/>
      <c r="M9" s="556"/>
      <c r="N9" s="556"/>
      <c r="O9" s="556"/>
      <c r="P9" s="556"/>
      <c r="Q9" s="556"/>
      <c r="R9" s="556"/>
      <c r="S9" s="556"/>
      <c r="T9" s="556"/>
      <c r="U9" s="556"/>
      <c r="V9" s="556"/>
      <c r="W9" s="556"/>
      <c r="X9" s="409"/>
      <c r="Y9" s="409"/>
      <c r="Z9" s="409"/>
      <c r="AA9" s="409"/>
      <c r="AB9" s="409"/>
      <c r="AC9" s="409"/>
      <c r="AD9" s="409"/>
      <c r="AE9" s="409"/>
      <c r="AG9" s="102" t="s">
        <v>414</v>
      </c>
    </row>
    <row r="10" spans="1:42" ht="15.95" customHeight="1">
      <c r="C10" s="221"/>
      <c r="D10" s="221"/>
      <c r="E10" s="197"/>
      <c r="F10" s="199"/>
      <c r="G10" s="197"/>
      <c r="H10" s="197"/>
      <c r="I10" s="197"/>
      <c r="J10" s="197"/>
    </row>
    <row r="11" spans="1:42" s="197" customFormat="1" ht="24" customHeight="1">
      <c r="A11" s="78"/>
      <c r="B11" s="78"/>
      <c r="C11" s="231"/>
      <c r="D11" s="229"/>
      <c r="E11" s="640" t="s">
        <v>415</v>
      </c>
      <c r="F11" s="641"/>
      <c r="G11" s="641"/>
      <c r="H11" s="641"/>
      <c r="I11" s="641"/>
      <c r="J11" s="642"/>
      <c r="K11" s="640" t="s">
        <v>416</v>
      </c>
      <c r="L11" s="641"/>
      <c r="M11" s="641"/>
      <c r="N11" s="641"/>
      <c r="O11" s="641"/>
      <c r="P11" s="641"/>
      <c r="Q11" s="641"/>
      <c r="R11" s="641"/>
      <c r="S11" s="641"/>
      <c r="T11" s="641"/>
      <c r="U11" s="641"/>
      <c r="V11" s="641"/>
      <c r="W11" s="641"/>
      <c r="X11" s="641"/>
      <c r="Y11" s="641"/>
      <c r="Z11" s="641"/>
      <c r="AA11" s="641"/>
      <c r="AB11" s="641"/>
      <c r="AC11" s="641"/>
      <c r="AD11" s="641"/>
      <c r="AE11" s="642"/>
      <c r="AG11" s="198"/>
      <c r="AH11" s="200"/>
    </row>
    <row r="12" spans="1:42" ht="15.95" customHeight="1">
      <c r="A12" s="217"/>
      <c r="B12" s="653"/>
      <c r="C12" s="649" t="s">
        <v>85</v>
      </c>
      <c r="D12" s="650"/>
      <c r="E12" s="647" t="s">
        <v>352</v>
      </c>
      <c r="F12" s="643" t="str">
        <f>Centro_Prop</f>
        <v>CESE</v>
      </c>
      <c r="G12" s="643">
        <f>Centro1</f>
        <v>0</v>
      </c>
      <c r="H12" s="643">
        <f>Centro2</f>
        <v>0</v>
      </c>
      <c r="I12" s="643">
        <f>Centro3</f>
        <v>0</v>
      </c>
      <c r="J12" s="645">
        <f>Centro4</f>
        <v>0</v>
      </c>
      <c r="K12" s="637" t="s">
        <v>417</v>
      </c>
      <c r="L12" s="639" t="str">
        <f>Centro_Prop</f>
        <v>CESE</v>
      </c>
      <c r="M12" s="639"/>
      <c r="N12" s="639"/>
      <c r="O12" s="639"/>
      <c r="P12" s="639">
        <f>Centro1</f>
        <v>0</v>
      </c>
      <c r="Q12" s="639"/>
      <c r="R12" s="639"/>
      <c r="S12" s="639"/>
      <c r="T12" s="639">
        <f>Centro2</f>
        <v>0</v>
      </c>
      <c r="U12" s="639"/>
      <c r="V12" s="639"/>
      <c r="W12" s="639"/>
      <c r="X12" s="639">
        <f>Centro3</f>
        <v>0</v>
      </c>
      <c r="Y12" s="639"/>
      <c r="Z12" s="639"/>
      <c r="AA12" s="639"/>
      <c r="AB12" s="639">
        <f>Centro4</f>
        <v>0</v>
      </c>
      <c r="AC12" s="639"/>
      <c r="AD12" s="639"/>
      <c r="AE12" s="639"/>
      <c r="AF12" s="511"/>
    </row>
    <row r="13" spans="1:42" ht="15.95" customHeight="1">
      <c r="A13" s="55" t="s">
        <v>108</v>
      </c>
      <c r="B13" s="653"/>
      <c r="C13" s="651"/>
      <c r="D13" s="652"/>
      <c r="E13" s="648"/>
      <c r="F13" s="644"/>
      <c r="G13" s="644"/>
      <c r="H13" s="644"/>
      <c r="I13" s="644"/>
      <c r="J13" s="646"/>
      <c r="K13" s="638"/>
      <c r="L13" s="230" t="s">
        <v>418</v>
      </c>
      <c r="M13" s="230" t="s">
        <v>419</v>
      </c>
      <c r="N13" s="230" t="s">
        <v>420</v>
      </c>
      <c r="O13" s="230" t="s">
        <v>421</v>
      </c>
      <c r="P13" s="230" t="s">
        <v>418</v>
      </c>
      <c r="Q13" s="230" t="s">
        <v>419</v>
      </c>
      <c r="R13" s="230" t="s">
        <v>420</v>
      </c>
      <c r="S13" s="230" t="s">
        <v>421</v>
      </c>
      <c r="T13" s="230" t="s">
        <v>418</v>
      </c>
      <c r="U13" s="230" t="s">
        <v>419</v>
      </c>
      <c r="V13" s="230" t="s">
        <v>420</v>
      </c>
      <c r="W13" s="230" t="s">
        <v>421</v>
      </c>
      <c r="X13" s="230" t="s">
        <v>418</v>
      </c>
      <c r="Y13" s="230" t="s">
        <v>419</v>
      </c>
      <c r="Z13" s="230" t="s">
        <v>420</v>
      </c>
      <c r="AA13" s="230" t="s">
        <v>421</v>
      </c>
      <c r="AB13" s="230" t="s">
        <v>418</v>
      </c>
      <c r="AC13" s="230" t="s">
        <v>419</v>
      </c>
      <c r="AD13" s="230" t="s">
        <v>420</v>
      </c>
      <c r="AE13" s="230" t="s">
        <v>421</v>
      </c>
    </row>
    <row r="14" spans="1:42" s="4" customFormat="1" ht="15.95" customHeight="1">
      <c r="A14" s="55" t="s">
        <v>305</v>
      </c>
      <c r="B14" s="55">
        <v>99100</v>
      </c>
      <c r="C14" s="618" t="s">
        <v>306</v>
      </c>
      <c r="D14" s="618"/>
      <c r="E14" s="39">
        <f>SUM(F14:J14)</f>
        <v>0</v>
      </c>
      <c r="F14" s="40">
        <f>SUMIFS(OCD!$H$34:$H$43,OCD!$F$34:$F$43,F$12,OCD!$G$34:$G$43,$C14)</f>
        <v>0</v>
      </c>
      <c r="G14" s="40">
        <f>SUMIFS(OCD!$H$34:$H$43,OCD!$F$34:$F$43,G$12,OCD!$G$34:$G$43,$C14)</f>
        <v>0</v>
      </c>
      <c r="H14" s="40">
        <f>SUMIFS(OCD!$H$34:$H$43,OCD!$F$34:$F$43,H$12,OCD!$G$34:$G$43,$C14)</f>
        <v>0</v>
      </c>
      <c r="I14" s="40">
        <f>SUMIFS(OCD!$H$34:$H$43,OCD!$F$34:$F$43,I$12,OCD!$G$34:$G$43,$C14)</f>
        <v>0</v>
      </c>
      <c r="J14" s="40">
        <f>SUMIFS(OCD!$H$34:$H$43,OCD!$F$34:$F$43,J$12,OCD!$G$34:$G$43,$C14)</f>
        <v>0</v>
      </c>
      <c r="K14" s="39">
        <f t="shared" ref="K14:K19" si="0">SUMIFS(L14:AE14,$L$48:$AE$48,"V")</f>
        <v>0</v>
      </c>
      <c r="L14" s="428"/>
      <c r="M14" s="428"/>
      <c r="N14" s="428"/>
      <c r="O14" s="428"/>
      <c r="P14" s="428"/>
      <c r="Q14" s="428"/>
      <c r="R14" s="428"/>
      <c r="S14" s="428"/>
      <c r="T14" s="428"/>
      <c r="U14" s="428"/>
      <c r="V14" s="428"/>
      <c r="W14" s="428"/>
      <c r="X14" s="428"/>
      <c r="Y14" s="428"/>
      <c r="Z14" s="428"/>
      <c r="AA14" s="428"/>
      <c r="AB14" s="428"/>
      <c r="AC14" s="428"/>
      <c r="AD14" s="428"/>
      <c r="AE14" s="428"/>
      <c r="AF14" s="196"/>
      <c r="AG14" s="43" t="str">
        <f t="shared" ref="AG14:AG19" si="1">IF(AND($E14=0,$K14=0),"",IF(AND(SUM($L14:$O14)&lt;=$F14+1,SUM($P14:$S14)&lt;=$G14+1,SUM($T14:$W14)&lt;=$H14+1,SUM($X14:$AA14)&lt;=$I14+1,SUM($AB14:$AE14)&lt;=$J14+1),"V","Erro"))</f>
        <v/>
      </c>
      <c r="AP14" s="237"/>
    </row>
    <row r="15" spans="1:42" s="4" customFormat="1" ht="15.95" customHeight="1">
      <c r="A15" s="55" t="s">
        <v>305</v>
      </c>
      <c r="B15" s="55">
        <v>99102</v>
      </c>
      <c r="C15" s="618" t="s">
        <v>307</v>
      </c>
      <c r="D15" s="618"/>
      <c r="E15" s="39">
        <f>SUM(F15:J15)</f>
        <v>0</v>
      </c>
      <c r="F15" s="40">
        <f>SUMIFS(OCD!$H$34:$H$43,OCD!$F$34:$F$43,F$12,OCD!$G$34:$G$43,$C15)</f>
        <v>0</v>
      </c>
      <c r="G15" s="40">
        <f>SUMIFS(OCD!$H$34:$H$43,OCD!$F$34:$F$43,G$12,OCD!$G$34:$G$43,$C15)</f>
        <v>0</v>
      </c>
      <c r="H15" s="40">
        <f>SUMIFS(OCD!$H$34:$H$43,OCD!$F$34:$F$43,H$12,OCD!$G$34:$G$43,$C15)</f>
        <v>0</v>
      </c>
      <c r="I15" s="40">
        <f>SUMIFS(OCD!$H$34:$H$43,OCD!$F$34:$F$43,I$12,OCD!$G$34:$G$43,$C15)</f>
        <v>0</v>
      </c>
      <c r="J15" s="40">
        <f>SUMIFS(OCD!$H$34:$H$43,OCD!$F$34:$F$43,J$12,OCD!$G$34:$G$43,$C15)</f>
        <v>0</v>
      </c>
      <c r="K15" s="39">
        <f t="shared" si="0"/>
        <v>0</v>
      </c>
      <c r="L15" s="428"/>
      <c r="M15" s="428"/>
      <c r="N15" s="428"/>
      <c r="O15" s="428"/>
      <c r="P15" s="428"/>
      <c r="Q15" s="428"/>
      <c r="R15" s="428"/>
      <c r="S15" s="428"/>
      <c r="T15" s="428"/>
      <c r="U15" s="428"/>
      <c r="V15" s="428"/>
      <c r="W15" s="428"/>
      <c r="X15" s="428"/>
      <c r="Y15" s="428"/>
      <c r="Z15" s="428"/>
      <c r="AA15" s="428"/>
      <c r="AB15" s="428"/>
      <c r="AC15" s="428"/>
      <c r="AD15" s="428"/>
      <c r="AE15" s="428"/>
      <c r="AF15" s="196"/>
      <c r="AG15" s="43" t="str">
        <f t="shared" si="1"/>
        <v/>
      </c>
      <c r="AP15" s="237"/>
    </row>
    <row r="16" spans="1:42" s="4" customFormat="1" ht="15.95" customHeight="1">
      <c r="A16" s="55" t="s">
        <v>305</v>
      </c>
      <c r="B16" s="55">
        <v>99104</v>
      </c>
      <c r="C16" s="618" t="s">
        <v>308</v>
      </c>
      <c r="D16" s="618"/>
      <c r="E16" s="39">
        <f>SUM(F16:J16)</f>
        <v>0</v>
      </c>
      <c r="F16" s="40">
        <f>SUMIFS(OCD!$H$34:$H$43,OCD!$F$34:$F$43,F$12,OCD!$G$34:$G$43,$C16)</f>
        <v>0</v>
      </c>
      <c r="G16" s="40">
        <f>SUMIFS(OCD!$H$34:$H$43,OCD!$F$34:$F$43,G$12,OCD!$G$34:$G$43,$C16)</f>
        <v>0</v>
      </c>
      <c r="H16" s="40">
        <f>SUMIFS(OCD!$H$34:$H$43,OCD!$F$34:$F$43,H$12,OCD!$G$34:$G$43,$C16)</f>
        <v>0</v>
      </c>
      <c r="I16" s="40">
        <f>SUMIFS(OCD!$H$34:$H$43,OCD!$F$34:$F$43,I$12,OCD!$G$34:$G$43,$C16)</f>
        <v>0</v>
      </c>
      <c r="J16" s="40">
        <f>SUMIFS(OCD!$H$34:$H$43,OCD!$F$34:$F$43,J$12,OCD!$G$34:$G$43,$C16)</f>
        <v>0</v>
      </c>
      <c r="K16" s="39">
        <f t="shared" si="0"/>
        <v>0</v>
      </c>
      <c r="L16" s="428"/>
      <c r="M16" s="428"/>
      <c r="N16" s="428"/>
      <c r="O16" s="428"/>
      <c r="P16" s="428"/>
      <c r="Q16" s="428"/>
      <c r="R16" s="428"/>
      <c r="S16" s="428"/>
      <c r="T16" s="428"/>
      <c r="U16" s="428"/>
      <c r="V16" s="428"/>
      <c r="W16" s="428"/>
      <c r="X16" s="428"/>
      <c r="Y16" s="428"/>
      <c r="Z16" s="428"/>
      <c r="AA16" s="428"/>
      <c r="AB16" s="428"/>
      <c r="AC16" s="428"/>
      <c r="AD16" s="428"/>
      <c r="AE16" s="428"/>
      <c r="AF16" s="196"/>
      <c r="AG16" s="43" t="str">
        <f t="shared" si="1"/>
        <v/>
      </c>
      <c r="AP16" s="237"/>
    </row>
    <row r="17" spans="1:42" s="4" customFormat="1" ht="15.95" customHeight="1">
      <c r="A17" s="55" t="s">
        <v>305</v>
      </c>
      <c r="B17" s="55">
        <v>99106</v>
      </c>
      <c r="C17" s="618" t="s">
        <v>309</v>
      </c>
      <c r="D17" s="618"/>
      <c r="E17" s="39">
        <f>SUM(F17:J17)</f>
        <v>0</v>
      </c>
      <c r="F17" s="40">
        <f>SUMIFS(OCD!$H$34:$H$43,OCD!$F$34:$F$43,F$12,OCD!$G$34:$G$43,$C17)</f>
        <v>0</v>
      </c>
      <c r="G17" s="40">
        <f>SUMIFS(OCD!$H$34:$H$43,OCD!$F$34:$F$43,G$12,OCD!$G$34:$G$43,$C17)</f>
        <v>0</v>
      </c>
      <c r="H17" s="40">
        <f>SUMIFS(OCD!$H$34:$H$43,OCD!$F$34:$F$43,H$12,OCD!$G$34:$G$43,$C17)</f>
        <v>0</v>
      </c>
      <c r="I17" s="40">
        <f>SUMIFS(OCD!$H$34:$H$43,OCD!$F$34:$F$43,I$12,OCD!$G$34:$G$43,$C17)</f>
        <v>0</v>
      </c>
      <c r="J17" s="40">
        <f>SUMIFS(OCD!$H$34:$H$43,OCD!$F$34:$F$43,J$12,OCD!$G$34:$G$43,$C17)</f>
        <v>0</v>
      </c>
      <c r="K17" s="39">
        <f t="shared" si="0"/>
        <v>0</v>
      </c>
      <c r="L17" s="428"/>
      <c r="M17" s="428"/>
      <c r="N17" s="428"/>
      <c r="O17" s="428"/>
      <c r="P17" s="428"/>
      <c r="Q17" s="428"/>
      <c r="R17" s="428"/>
      <c r="S17" s="428"/>
      <c r="T17" s="428"/>
      <c r="U17" s="428"/>
      <c r="V17" s="428"/>
      <c r="W17" s="428"/>
      <c r="X17" s="428"/>
      <c r="Y17" s="428"/>
      <c r="Z17" s="428"/>
      <c r="AA17" s="428"/>
      <c r="AB17" s="428"/>
      <c r="AC17" s="428"/>
      <c r="AD17" s="428"/>
      <c r="AE17" s="428"/>
      <c r="AF17" s="196"/>
      <c r="AG17" s="43" t="str">
        <f t="shared" si="1"/>
        <v/>
      </c>
      <c r="AP17" s="237"/>
    </row>
    <row r="18" spans="1:42" s="4" customFormat="1" ht="15.95" customHeight="1">
      <c r="A18" s="55" t="s">
        <v>305</v>
      </c>
      <c r="B18" s="55">
        <v>99108</v>
      </c>
      <c r="C18" s="618" t="s">
        <v>310</v>
      </c>
      <c r="D18" s="618"/>
      <c r="E18" s="39">
        <f>SUM(F18:J18)</f>
        <v>0</v>
      </c>
      <c r="F18" s="40">
        <f>SUMIFS(OCD!$H$34:$H$43,OCD!$F$34:$F$43,F$12,OCD!$G$34:$G$43,$C18)</f>
        <v>0</v>
      </c>
      <c r="G18" s="40">
        <f>SUMIFS(OCD!$H$34:$H$43,OCD!$F$34:$F$43,G$12,OCD!$G$34:$G$43,$C18)</f>
        <v>0</v>
      </c>
      <c r="H18" s="40">
        <f>SUMIFS(OCD!$H$34:$H$43,OCD!$F$34:$F$43,H$12,OCD!$G$34:$G$43,$C18)</f>
        <v>0</v>
      </c>
      <c r="I18" s="40">
        <f>SUMIFS(OCD!$H$34:$H$43,OCD!$F$34:$F$43,I$12,OCD!$G$34:$G$43,$C18)</f>
        <v>0</v>
      </c>
      <c r="J18" s="40">
        <f>SUMIFS(OCD!$H$34:$H$43,OCD!$F$34:$F$43,J$12,OCD!$G$34:$G$43,$C18)</f>
        <v>0</v>
      </c>
      <c r="K18" s="39">
        <f t="shared" si="0"/>
        <v>0</v>
      </c>
      <c r="L18" s="428"/>
      <c r="M18" s="428"/>
      <c r="N18" s="428"/>
      <c r="O18" s="428"/>
      <c r="P18" s="428"/>
      <c r="Q18" s="428"/>
      <c r="R18" s="428"/>
      <c r="S18" s="428"/>
      <c r="T18" s="428"/>
      <c r="U18" s="428"/>
      <c r="V18" s="428"/>
      <c r="W18" s="428"/>
      <c r="X18" s="428"/>
      <c r="Y18" s="428"/>
      <c r="Z18" s="428"/>
      <c r="AA18" s="428"/>
      <c r="AB18" s="428"/>
      <c r="AC18" s="428"/>
      <c r="AD18" s="428"/>
      <c r="AE18" s="428"/>
      <c r="AF18" s="196"/>
      <c r="AG18" s="43" t="str">
        <f t="shared" si="1"/>
        <v/>
      </c>
      <c r="AP18" s="237"/>
    </row>
    <row r="19" spans="1:42" s="282" customFormat="1" ht="15.95" customHeight="1">
      <c r="A19" s="55"/>
      <c r="B19" s="55"/>
      <c r="D19" s="429" t="s">
        <v>422</v>
      </c>
      <c r="E19" s="430">
        <f t="shared" ref="E19:J19" si="2">+SUM(E14:E18)</f>
        <v>0</v>
      </c>
      <c r="F19" s="430">
        <f t="shared" si="2"/>
        <v>0</v>
      </c>
      <c r="G19" s="430">
        <f t="shared" si="2"/>
        <v>0</v>
      </c>
      <c r="H19" s="430">
        <f t="shared" si="2"/>
        <v>0</v>
      </c>
      <c r="I19" s="430">
        <f t="shared" si="2"/>
        <v>0</v>
      </c>
      <c r="J19" s="430">
        <f t="shared" si="2"/>
        <v>0</v>
      </c>
      <c r="K19" s="430">
        <f t="shared" si="0"/>
        <v>0</v>
      </c>
      <c r="L19" s="431">
        <f>IF(LEN(L$8)&gt;1,SUM(L14:L18),0)</f>
        <v>0</v>
      </c>
      <c r="M19" s="431">
        <f t="shared" ref="M19:AE19" si="3">IF(LEN(M$8)&gt;1,SUM(M14:M18),0)</f>
        <v>0</v>
      </c>
      <c r="N19" s="431">
        <f t="shared" si="3"/>
        <v>0</v>
      </c>
      <c r="O19" s="431">
        <f t="shared" si="3"/>
        <v>0</v>
      </c>
      <c r="P19" s="431">
        <f t="shared" si="3"/>
        <v>0</v>
      </c>
      <c r="Q19" s="431">
        <f t="shared" si="3"/>
        <v>0</v>
      </c>
      <c r="R19" s="431">
        <f t="shared" si="3"/>
        <v>0</v>
      </c>
      <c r="S19" s="431">
        <f t="shared" si="3"/>
        <v>0</v>
      </c>
      <c r="T19" s="431">
        <f t="shared" si="3"/>
        <v>0</v>
      </c>
      <c r="U19" s="431">
        <f t="shared" si="3"/>
        <v>0</v>
      </c>
      <c r="V19" s="431">
        <f t="shared" si="3"/>
        <v>0</v>
      </c>
      <c r="W19" s="431">
        <f t="shared" si="3"/>
        <v>0</v>
      </c>
      <c r="X19" s="431">
        <f t="shared" si="3"/>
        <v>0</v>
      </c>
      <c r="Y19" s="431">
        <f t="shared" si="3"/>
        <v>0</v>
      </c>
      <c r="Z19" s="431">
        <f t="shared" si="3"/>
        <v>0</v>
      </c>
      <c r="AA19" s="431">
        <f t="shared" si="3"/>
        <v>0</v>
      </c>
      <c r="AB19" s="431">
        <f t="shared" si="3"/>
        <v>0</v>
      </c>
      <c r="AC19" s="431">
        <f t="shared" si="3"/>
        <v>0</v>
      </c>
      <c r="AD19" s="431">
        <f t="shared" si="3"/>
        <v>0</v>
      </c>
      <c r="AE19" s="431">
        <f t="shared" si="3"/>
        <v>0</v>
      </c>
      <c r="AF19" s="512"/>
      <c r="AG19" s="43" t="str">
        <f t="shared" si="1"/>
        <v/>
      </c>
      <c r="AH19" s="432"/>
    </row>
    <row r="20" spans="1:42" ht="32.1" customHeight="1">
      <c r="E20" s="14"/>
    </row>
    <row r="21" spans="1:42" ht="30" customHeight="1">
      <c r="C21" s="556" t="s">
        <v>423</v>
      </c>
      <c r="D21" s="556"/>
      <c r="E21" s="556"/>
      <c r="F21" s="556"/>
      <c r="G21" s="556"/>
      <c r="H21" s="556"/>
      <c r="I21" s="556"/>
      <c r="J21" s="556"/>
      <c r="K21" s="556"/>
      <c r="L21" s="556"/>
      <c r="M21" s="556"/>
      <c r="N21" s="556"/>
      <c r="O21" s="556"/>
      <c r="P21" s="556"/>
      <c r="Q21" s="556"/>
      <c r="R21" s="556"/>
      <c r="S21" s="556"/>
      <c r="T21" s="556"/>
      <c r="U21" s="556"/>
      <c r="V21" s="556"/>
      <c r="W21" s="556"/>
      <c r="X21" s="409"/>
      <c r="Y21" s="409"/>
      <c r="Z21" s="409"/>
      <c r="AA21" s="409"/>
      <c r="AB21" s="409"/>
      <c r="AC21" s="409"/>
      <c r="AD21" s="409"/>
      <c r="AE21" s="409"/>
      <c r="AG21" s="102"/>
    </row>
    <row r="22" spans="1:42" s="48" customFormat="1" ht="15.95" customHeight="1">
      <c r="A22" s="55"/>
      <c r="B22" s="55"/>
      <c r="C22" s="55"/>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197"/>
      <c r="AG22" s="21"/>
      <c r="AH22" s="30"/>
    </row>
    <row r="23" spans="1:42" s="197" customFormat="1" ht="24" customHeight="1">
      <c r="A23" s="78"/>
      <c r="B23" s="78"/>
      <c r="C23" s="231"/>
      <c r="D23" s="229"/>
      <c r="E23" s="640" t="s">
        <v>415</v>
      </c>
      <c r="F23" s="641"/>
      <c r="G23" s="641"/>
      <c r="H23" s="641"/>
      <c r="I23" s="641"/>
      <c r="J23" s="642"/>
      <c r="K23" s="640" t="s">
        <v>416</v>
      </c>
      <c r="L23" s="641"/>
      <c r="M23" s="641"/>
      <c r="N23" s="641"/>
      <c r="O23" s="641"/>
      <c r="P23" s="641"/>
      <c r="Q23" s="641"/>
      <c r="R23" s="641"/>
      <c r="S23" s="641"/>
      <c r="T23" s="641"/>
      <c r="U23" s="641"/>
      <c r="V23" s="641"/>
      <c r="W23" s="641"/>
      <c r="X23" s="641"/>
      <c r="Y23" s="641"/>
      <c r="Z23" s="641"/>
      <c r="AA23" s="641"/>
      <c r="AB23" s="641"/>
      <c r="AC23" s="641"/>
      <c r="AD23" s="641"/>
      <c r="AE23" s="642"/>
      <c r="AF23" s="511"/>
      <c r="AG23" s="198"/>
      <c r="AH23" s="200"/>
    </row>
    <row r="24" spans="1:42" ht="15.95" customHeight="1">
      <c r="C24" s="649" t="s">
        <v>85</v>
      </c>
      <c r="D24" s="650"/>
      <c r="E24" s="647" t="s">
        <v>352</v>
      </c>
      <c r="F24" s="643" t="str">
        <f>Centro_Prop</f>
        <v>CESE</v>
      </c>
      <c r="G24" s="643">
        <f>Centro1</f>
        <v>0</v>
      </c>
      <c r="H24" s="643">
        <f>Centro2</f>
        <v>0</v>
      </c>
      <c r="I24" s="643">
        <f>Centro3</f>
        <v>0</v>
      </c>
      <c r="J24" s="645">
        <f>Centro4</f>
        <v>0</v>
      </c>
      <c r="K24" s="637" t="s">
        <v>417</v>
      </c>
      <c r="L24" s="639" t="str">
        <f>Centro_Prop</f>
        <v>CESE</v>
      </c>
      <c r="M24" s="639"/>
      <c r="N24" s="639"/>
      <c r="O24" s="639"/>
      <c r="P24" s="639">
        <f>Centro1</f>
        <v>0</v>
      </c>
      <c r="Q24" s="639"/>
      <c r="R24" s="639"/>
      <c r="S24" s="639"/>
      <c r="T24" s="639">
        <f>Centro2</f>
        <v>0</v>
      </c>
      <c r="U24" s="639"/>
      <c r="V24" s="639"/>
      <c r="W24" s="639"/>
      <c r="X24" s="639">
        <f>Centro3</f>
        <v>0</v>
      </c>
      <c r="Y24" s="639"/>
      <c r="Z24" s="639"/>
      <c r="AA24" s="639"/>
      <c r="AB24" s="639">
        <f>Centro4</f>
        <v>0</v>
      </c>
      <c r="AC24" s="639"/>
      <c r="AD24" s="639"/>
      <c r="AE24" s="639"/>
      <c r="AF24" s="511"/>
    </row>
    <row r="25" spans="1:42" ht="15.95" customHeight="1">
      <c r="C25" s="651"/>
      <c r="D25" s="652"/>
      <c r="E25" s="648"/>
      <c r="F25" s="644"/>
      <c r="G25" s="644"/>
      <c r="H25" s="644"/>
      <c r="I25" s="644"/>
      <c r="J25" s="646"/>
      <c r="K25" s="638"/>
      <c r="L25" s="230" t="s">
        <v>418</v>
      </c>
      <c r="M25" s="230" t="s">
        <v>419</v>
      </c>
      <c r="N25" s="230" t="s">
        <v>420</v>
      </c>
      <c r="O25" s="230" t="s">
        <v>421</v>
      </c>
      <c r="P25" s="230" t="s">
        <v>418</v>
      </c>
      <c r="Q25" s="230" t="s">
        <v>419</v>
      </c>
      <c r="R25" s="230" t="s">
        <v>420</v>
      </c>
      <c r="S25" s="230" t="s">
        <v>421</v>
      </c>
      <c r="T25" s="230" t="s">
        <v>418</v>
      </c>
      <c r="U25" s="230" t="s">
        <v>419</v>
      </c>
      <c r="V25" s="230" t="s">
        <v>420</v>
      </c>
      <c r="W25" s="230" t="s">
        <v>421</v>
      </c>
      <c r="X25" s="230" t="s">
        <v>418</v>
      </c>
      <c r="Y25" s="230" t="s">
        <v>419</v>
      </c>
      <c r="Z25" s="230" t="s">
        <v>420</v>
      </c>
      <c r="AA25" s="230" t="s">
        <v>421</v>
      </c>
      <c r="AB25" s="230" t="s">
        <v>418</v>
      </c>
      <c r="AC25" s="230" t="s">
        <v>419</v>
      </c>
      <c r="AD25" s="230" t="s">
        <v>420</v>
      </c>
      <c r="AE25" s="230" t="s">
        <v>421</v>
      </c>
      <c r="AF25" s="511"/>
    </row>
    <row r="26" spans="1:42" s="4" customFormat="1" ht="15.95" customHeight="1">
      <c r="A26" s="55" t="s">
        <v>293</v>
      </c>
      <c r="B26" s="55">
        <v>99201</v>
      </c>
      <c r="C26" s="618" t="s">
        <v>294</v>
      </c>
      <c r="D26" s="618"/>
      <c r="E26" s="39">
        <f t="shared" ref="E26:E38" si="4">SUM(F26:J26)</f>
        <v>0</v>
      </c>
      <c r="F26" s="40">
        <f>SUMIFS(OCD!$H$11:$H$28,OCD!$F$11:$F$28,F$24,OCD!$G$11:$G$28,$C26)</f>
        <v>0</v>
      </c>
      <c r="G26" s="40">
        <f>SUMIFS(OCD!$H$11:$H$28,OCD!$F$11:$F$28,G$24,OCD!$G$11:$G$28,$C26)</f>
        <v>0</v>
      </c>
      <c r="H26" s="40">
        <f>SUMIFS(OCD!$H$11:$H$28,OCD!$F$11:$F$28,H$24,OCD!$G$11:$G$28,$C26)</f>
        <v>0</v>
      </c>
      <c r="I26" s="40">
        <f>SUMIFS(OCD!$H$11:$H$28,OCD!$F$11:$F$28,I$24,OCD!$G$11:$G$28,$C26)</f>
        <v>0</v>
      </c>
      <c r="J26" s="40">
        <f>SUMIFS(OCD!$H$11:$H$28,OCD!$F$11:$F$28,J$24,OCD!$G$11:$G$28,$C26)</f>
        <v>0</v>
      </c>
      <c r="K26" s="39">
        <f>SUMIFS(L26:AE26,$L$48:$AE$48,"V")</f>
        <v>0</v>
      </c>
      <c r="L26" s="433"/>
      <c r="M26" s="433"/>
      <c r="N26" s="433"/>
      <c r="O26" s="433"/>
      <c r="P26" s="433"/>
      <c r="Q26" s="433"/>
      <c r="R26" s="433"/>
      <c r="S26" s="433"/>
      <c r="T26" s="433"/>
      <c r="U26" s="433"/>
      <c r="V26" s="433"/>
      <c r="W26" s="433"/>
      <c r="X26" s="433"/>
      <c r="Y26" s="433"/>
      <c r="Z26" s="433"/>
      <c r="AA26" s="433"/>
      <c r="AB26" s="433"/>
      <c r="AC26" s="433"/>
      <c r="AD26" s="433"/>
      <c r="AE26" s="433"/>
      <c r="AF26" s="196"/>
      <c r="AG26" s="43" t="str">
        <f t="shared" ref="AG26:AG39" si="5">IF(AND($E26=0,$K26=0),"",IF(AND(SUM($L26:$O26)&lt;=$F26+1,SUM($P26:$S26)&lt;=$G26+1,SUM($T26:$W26)&lt;=$H26+1,SUM($X26:$AA26)&lt;=$I26+1,SUM($AB26:$AE26)&lt;=$J26+1),"V","Erro"))</f>
        <v/>
      </c>
      <c r="AH26" s="432"/>
    </row>
    <row r="27" spans="1:42" s="4" customFormat="1" ht="15.95" customHeight="1">
      <c r="A27" s="55" t="s">
        <v>293</v>
      </c>
      <c r="B27" s="55">
        <v>99202</v>
      </c>
      <c r="C27" s="618" t="s">
        <v>295</v>
      </c>
      <c r="D27" s="618"/>
      <c r="E27" s="39">
        <f t="shared" si="4"/>
        <v>0</v>
      </c>
      <c r="F27" s="40">
        <f>SUMIFS(OCD!$H$11:$H$28,OCD!$F$11:$F$28,F$24,OCD!$G$11:$G$28,$C27)</f>
        <v>0</v>
      </c>
      <c r="G27" s="40">
        <f>SUMIFS(OCD!$H$11:$H$28,OCD!$F$11:$F$28,G$24,OCD!$G$11:$G$28,$C27)</f>
        <v>0</v>
      </c>
      <c r="H27" s="40">
        <f>SUMIFS(OCD!$H$11:$H$28,OCD!$F$11:$F$28,H$24,OCD!$G$11:$G$28,$C27)</f>
        <v>0</v>
      </c>
      <c r="I27" s="40">
        <f>SUMIFS(OCD!$H$11:$H$28,OCD!$F$11:$F$28,I$24,OCD!$G$11:$G$28,$C27)</f>
        <v>0</v>
      </c>
      <c r="J27" s="40">
        <f>SUMIFS(OCD!$H$11:$H$28,OCD!$F$11:$F$28,J$24,OCD!$G$11:$G$28,$C27)</f>
        <v>0</v>
      </c>
      <c r="K27" s="39">
        <f>SUMIFS(L27:AE27,$L$48:$AE$48,"V")</f>
        <v>0</v>
      </c>
      <c r="L27" s="433"/>
      <c r="M27" s="433"/>
      <c r="N27" s="433"/>
      <c r="O27" s="433"/>
      <c r="P27" s="433"/>
      <c r="Q27" s="433"/>
      <c r="R27" s="433"/>
      <c r="S27" s="433"/>
      <c r="T27" s="433"/>
      <c r="U27" s="433"/>
      <c r="V27" s="433"/>
      <c r="W27" s="433"/>
      <c r="X27" s="433"/>
      <c r="Y27" s="433"/>
      <c r="Z27" s="433"/>
      <c r="AA27" s="433"/>
      <c r="AB27" s="433"/>
      <c r="AC27" s="433"/>
      <c r="AD27" s="433"/>
      <c r="AE27" s="433"/>
      <c r="AF27" s="196"/>
      <c r="AG27" s="43" t="str">
        <f>IF(AND($E27=0,$K27=0),"",IF(AND(SUM($L27:$O27)&lt;=$F27+1,SUM($P27:$S27)&lt;=$G27+1,SUM($T27:$W27)&lt;=$H27+1,SUM($X27:$AA27)&lt;=$I27+1,SUM($AB27:$AE27)&lt;=$J27+1),"V","Erro"))</f>
        <v/>
      </c>
      <c r="AH27" s="432"/>
    </row>
    <row r="28" spans="1:42" s="4" customFormat="1" ht="15.95" customHeight="1">
      <c r="A28" s="55" t="s">
        <v>293</v>
      </c>
      <c r="B28" s="55">
        <v>99203</v>
      </c>
      <c r="C28" s="618" t="s">
        <v>296</v>
      </c>
      <c r="D28" s="618"/>
      <c r="E28" s="39">
        <f t="shared" si="4"/>
        <v>0</v>
      </c>
      <c r="F28" s="40">
        <f>SUMIFS(OCD!$H$11:$H$28,OCD!$F$11:$F$28,F$24,OCD!$G$11:$G$28,$C28)</f>
        <v>0</v>
      </c>
      <c r="G28" s="40">
        <f>SUMIFS(OCD!$H$11:$H$28,OCD!$F$11:$F$28,G$24,OCD!$G$11:$G$28,$C28)</f>
        <v>0</v>
      </c>
      <c r="H28" s="40">
        <f>SUMIFS(OCD!$H$11:$H$28,OCD!$F$11:$F$28,H$24,OCD!$G$11:$G$28,$C28)</f>
        <v>0</v>
      </c>
      <c r="I28" s="40">
        <f>SUMIFS(OCD!$H$11:$H$28,OCD!$F$11:$F$28,I$24,OCD!$G$11:$G$28,$C28)</f>
        <v>0</v>
      </c>
      <c r="J28" s="40">
        <f>SUMIFS(OCD!$H$11:$H$28,OCD!$F$11:$F$28,J$24,OCD!$G$11:$G$28,$C28)</f>
        <v>0</v>
      </c>
      <c r="K28" s="39">
        <f>SUMIFS(L28:AE28,$L$48:$AE$48,"V")</f>
        <v>0</v>
      </c>
      <c r="L28" s="433"/>
      <c r="M28" s="433"/>
      <c r="N28" s="433"/>
      <c r="O28" s="433"/>
      <c r="P28" s="433"/>
      <c r="Q28" s="433"/>
      <c r="R28" s="433"/>
      <c r="S28" s="433"/>
      <c r="T28" s="433"/>
      <c r="U28" s="433"/>
      <c r="V28" s="433"/>
      <c r="W28" s="433"/>
      <c r="X28" s="433"/>
      <c r="Y28" s="433"/>
      <c r="Z28" s="433"/>
      <c r="AA28" s="433"/>
      <c r="AB28" s="433"/>
      <c r="AC28" s="433"/>
      <c r="AD28" s="433"/>
      <c r="AE28" s="433"/>
      <c r="AF28" s="196"/>
      <c r="AG28" s="43" t="str">
        <f t="shared" si="5"/>
        <v/>
      </c>
      <c r="AH28" s="432"/>
    </row>
    <row r="29" spans="1:42" s="4" customFormat="1" ht="15.95" customHeight="1">
      <c r="A29" s="55" t="s">
        <v>293</v>
      </c>
      <c r="B29" s="55">
        <v>99204</v>
      </c>
      <c r="C29" s="618" t="s">
        <v>297</v>
      </c>
      <c r="D29" s="618"/>
      <c r="E29" s="39">
        <f t="shared" si="4"/>
        <v>0</v>
      </c>
      <c r="F29" s="40">
        <f>SUMIFS(OCD!$H$11:$H$28,OCD!$F$11:$F$28,F$24,OCD!$G$11:$G$28,$C29)</f>
        <v>0</v>
      </c>
      <c r="G29" s="40">
        <f>SUMIFS(OCD!$H$11:$H$28,OCD!$F$11:$F$28,G$24,OCD!$G$11:$G$28,$C29)</f>
        <v>0</v>
      </c>
      <c r="H29" s="40">
        <f>SUMIFS(OCD!$H$11:$H$28,OCD!$F$11:$F$28,H$24,OCD!$G$11:$G$28,$C29)</f>
        <v>0</v>
      </c>
      <c r="I29" s="40">
        <f>SUMIFS(OCD!$H$11:$H$28,OCD!$F$11:$F$28,I$24,OCD!$G$11:$G$28,$C29)</f>
        <v>0</v>
      </c>
      <c r="J29" s="40">
        <f>SUMIFS(OCD!$H$11:$H$28,OCD!$F$11:$F$28,J$24,OCD!$G$11:$G$28,$C29)</f>
        <v>0</v>
      </c>
      <c r="K29" s="39">
        <f>SUMIFS(L29:AE29,$L$48:$AE$48,"V")</f>
        <v>0</v>
      </c>
      <c r="L29" s="433"/>
      <c r="M29" s="433"/>
      <c r="N29" s="433"/>
      <c r="O29" s="433"/>
      <c r="P29" s="433"/>
      <c r="Q29" s="433"/>
      <c r="R29" s="433"/>
      <c r="S29" s="433"/>
      <c r="T29" s="433"/>
      <c r="U29" s="433"/>
      <c r="V29" s="433"/>
      <c r="W29" s="433"/>
      <c r="X29" s="433"/>
      <c r="Y29" s="433"/>
      <c r="Z29" s="433"/>
      <c r="AA29" s="433"/>
      <c r="AB29" s="433"/>
      <c r="AC29" s="433"/>
      <c r="AD29" s="433"/>
      <c r="AE29" s="433"/>
      <c r="AF29" s="196"/>
      <c r="AG29" s="43" t="str">
        <f t="shared" si="5"/>
        <v/>
      </c>
      <c r="AH29" s="432"/>
    </row>
    <row r="30" spans="1:42" s="4" customFormat="1" ht="15.95" customHeight="1">
      <c r="A30" s="55" t="s">
        <v>293</v>
      </c>
      <c r="B30" s="55">
        <v>99207</v>
      </c>
      <c r="C30" s="618" t="s">
        <v>298</v>
      </c>
      <c r="D30" s="618"/>
      <c r="E30" s="39">
        <f t="shared" si="4"/>
        <v>0</v>
      </c>
      <c r="F30" s="40">
        <f>SUMIFS(OCD!$H$11:$H$28,OCD!$F$11:$F$28,F$24,OCD!$G$11:$G$28,$C30)</f>
        <v>0</v>
      </c>
      <c r="G30" s="40">
        <f>SUMIFS(OCD!$H$11:$H$28,OCD!$F$11:$F$28,G$24,OCD!$G$11:$G$28,$C30)</f>
        <v>0</v>
      </c>
      <c r="H30" s="40">
        <f>SUMIFS(OCD!$H$11:$H$28,OCD!$F$11:$F$28,H$24,OCD!$G$11:$G$28,$C30)</f>
        <v>0</v>
      </c>
      <c r="I30" s="40">
        <f>SUMIFS(OCD!$H$11:$H$28,OCD!$F$11:$F$28,I$24,OCD!$G$11:$G$28,$C30)</f>
        <v>0</v>
      </c>
      <c r="J30" s="40">
        <f>SUMIFS(OCD!$H$11:$H$28,OCD!$F$11:$F$28,J$24,OCD!$G$11:$G$28,$C30)</f>
        <v>0</v>
      </c>
      <c r="K30" s="39">
        <f>SUMIFS(L30:AE30,$L$48:$AE$48,"V")</f>
        <v>0</v>
      </c>
      <c r="L30" s="433"/>
      <c r="M30" s="433"/>
      <c r="N30" s="433"/>
      <c r="O30" s="433"/>
      <c r="P30" s="433"/>
      <c r="Q30" s="433"/>
      <c r="R30" s="433"/>
      <c r="S30" s="433"/>
      <c r="T30" s="433"/>
      <c r="U30" s="433"/>
      <c r="V30" s="433"/>
      <c r="W30" s="433"/>
      <c r="X30" s="433"/>
      <c r="Y30" s="433"/>
      <c r="Z30" s="433"/>
      <c r="AA30" s="433"/>
      <c r="AB30" s="433"/>
      <c r="AC30" s="433"/>
      <c r="AD30" s="433"/>
      <c r="AE30" s="433"/>
      <c r="AF30" s="196"/>
      <c r="AG30" s="43" t="str">
        <f t="shared" si="5"/>
        <v/>
      </c>
    </row>
    <row r="31" spans="1:42" s="4" customFormat="1" ht="15.95" customHeight="1">
      <c r="A31" s="55" t="s">
        <v>424</v>
      </c>
      <c r="B31" s="55">
        <v>99208</v>
      </c>
      <c r="C31" s="618" t="s">
        <v>425</v>
      </c>
      <c r="D31" s="618"/>
      <c r="E31" s="39">
        <f t="shared" si="4"/>
        <v>0</v>
      </c>
      <c r="F31" s="40">
        <f>SUMIFS(RH!$V$33:$V$64,RH!$H$33:$H$64,F$24,RH!$G$33:$G$64,"C",RH!$M$33:$M$64,"OI Geral")</f>
        <v>0</v>
      </c>
      <c r="G31" s="40">
        <f>SUMIFS(RH!$V$33:$V$64,RH!$H$33:$H$64,G$24,RH!$G$33:$G$64,"C",RH!$M$33:$M$64,"OI Geral")</f>
        <v>0</v>
      </c>
      <c r="H31" s="40">
        <f>SUMIFS(RH!$V$33:$V$64,RH!$H$33:$H$64,H$24,RH!$G$33:$G$64,"C",RH!$M$33:$M$64,"OI Geral")</f>
        <v>0</v>
      </c>
      <c r="I31" s="40"/>
      <c r="J31" s="40"/>
      <c r="K31" s="39"/>
      <c r="L31" s="433"/>
      <c r="M31" s="433"/>
      <c r="N31" s="433"/>
      <c r="O31" s="433"/>
      <c r="P31" s="433"/>
      <c r="Q31" s="433"/>
      <c r="R31" s="433"/>
      <c r="S31" s="433"/>
      <c r="T31" s="433"/>
      <c r="U31" s="433"/>
      <c r="V31" s="433"/>
      <c r="W31" s="433"/>
      <c r="X31" s="433"/>
      <c r="Y31" s="433"/>
      <c r="Z31" s="433"/>
      <c r="AA31" s="433"/>
      <c r="AB31" s="433"/>
      <c r="AC31" s="433"/>
      <c r="AD31" s="433"/>
      <c r="AE31" s="433"/>
      <c r="AF31" s="196"/>
      <c r="AG31" s="43" t="str">
        <f t="shared" si="5"/>
        <v/>
      </c>
    </row>
    <row r="32" spans="1:42" s="4" customFormat="1" ht="15.95" customHeight="1">
      <c r="A32" s="55" t="s">
        <v>424</v>
      </c>
      <c r="B32" s="55">
        <v>99209</v>
      </c>
      <c r="C32" s="618" t="s">
        <v>426</v>
      </c>
      <c r="D32" s="618"/>
      <c r="E32" s="39">
        <f t="shared" si="4"/>
        <v>0</v>
      </c>
      <c r="F32" s="40">
        <f>SUMIFS(RH!$V$33:$V$64,RH!$H$33:$H$64,F$24,RH!$G$33:$G$64,"B",RH!$M$33:$M$64,"OI Geral")</f>
        <v>0</v>
      </c>
      <c r="G32" s="40">
        <f>SUMIFS(RH!$V$33:$V$64,RH!$H$33:$H$64,G$24,RH!$G$33:$G$64,"B",RH!$M$33:$M$64,"OI Geral")</f>
        <v>0</v>
      </c>
      <c r="H32" s="40">
        <f>SUMIFS(RH!$V$33:$V$64,RH!$H$33:$H$64,H$24,RH!$G$33:$G$64,"B",RH!$M$33:$M$64,"OI Geral")</f>
        <v>0</v>
      </c>
      <c r="I32" s="40"/>
      <c r="J32" s="40"/>
      <c r="K32" s="39"/>
      <c r="L32" s="433"/>
      <c r="M32" s="433"/>
      <c r="N32" s="433"/>
      <c r="O32" s="433"/>
      <c r="P32" s="433"/>
      <c r="Q32" s="433"/>
      <c r="R32" s="433"/>
      <c r="S32" s="433"/>
      <c r="T32" s="433"/>
      <c r="U32" s="433"/>
      <c r="V32" s="433"/>
      <c r="W32" s="433"/>
      <c r="X32" s="433"/>
      <c r="Y32" s="433"/>
      <c r="Z32" s="433"/>
      <c r="AA32" s="433"/>
      <c r="AB32" s="433"/>
      <c r="AC32" s="433"/>
      <c r="AD32" s="433"/>
      <c r="AE32" s="433"/>
      <c r="AF32" s="196"/>
      <c r="AG32" s="43" t="str">
        <f t="shared" si="5"/>
        <v/>
      </c>
    </row>
    <row r="33" spans="1:42" s="4" customFormat="1" ht="15.95" customHeight="1">
      <c r="A33" s="55" t="s">
        <v>293</v>
      </c>
      <c r="B33" s="55">
        <v>99200</v>
      </c>
      <c r="C33" s="618" t="s">
        <v>427</v>
      </c>
      <c r="D33" s="618"/>
      <c r="E33" s="39">
        <f t="shared" si="4"/>
        <v>0</v>
      </c>
      <c r="F33" s="40">
        <f>SUMIFS(RH!$X$33:$X$64,RH!$H$33:$H$64,F$24,RH!$G$33:$G$64,"B")</f>
        <v>0</v>
      </c>
      <c r="G33" s="40">
        <f>SUMIFS(RH!$X$33:$X$64,RH!$H$33:$H$64,G$24,RH!$G$33:$G$64,"B")</f>
        <v>0</v>
      </c>
      <c r="H33" s="40">
        <f>SUMIFS(RH!$X$33:$X$64,RH!$H$33:$H$64,H$24,RH!$G$33:$G$64,"B")</f>
        <v>0</v>
      </c>
      <c r="I33" s="40">
        <f>SUMIFS(RH!$X$33:$X$64,RH!$H$33:$H$64,I$24,RH!$G$33:$G$64,"B")</f>
        <v>0</v>
      </c>
      <c r="J33" s="40">
        <f>SUMIFS(RH!$X$33:$X$64,RH!$H$33:$H$64,J$24,RH!$G$33:$G$64,"B")</f>
        <v>0</v>
      </c>
      <c r="K33" s="39">
        <f t="shared" ref="K33:K39" si="6">SUMIFS(L33:AE33,$L$48:$AE$48,"V")</f>
        <v>0</v>
      </c>
      <c r="L33" s="433"/>
      <c r="M33" s="433"/>
      <c r="N33" s="433"/>
      <c r="O33" s="433"/>
      <c r="P33" s="433"/>
      <c r="Q33" s="433"/>
      <c r="R33" s="433"/>
      <c r="S33" s="433"/>
      <c r="T33" s="433"/>
      <c r="U33" s="433"/>
      <c r="V33" s="433"/>
      <c r="W33" s="433"/>
      <c r="X33" s="433"/>
      <c r="Y33" s="433"/>
      <c r="Z33" s="433"/>
      <c r="AA33" s="433"/>
      <c r="AB33" s="433"/>
      <c r="AC33" s="433"/>
      <c r="AD33" s="433"/>
      <c r="AE33" s="433"/>
      <c r="AF33" s="196"/>
      <c r="AG33" s="43" t="str">
        <f t="shared" si="5"/>
        <v/>
      </c>
    </row>
    <row r="34" spans="1:42" s="4" customFormat="1" ht="15.95" customHeight="1">
      <c r="A34" s="55" t="s">
        <v>293</v>
      </c>
      <c r="B34" s="55">
        <v>99212</v>
      </c>
      <c r="C34" s="618" t="s">
        <v>428</v>
      </c>
      <c r="D34" s="618"/>
      <c r="E34" s="39">
        <f t="shared" si="4"/>
        <v>0</v>
      </c>
      <c r="F34" s="40">
        <f>SUMIFS(RH!$X$33:$X$64,RH!$H$33:$H$64,F$24,RH!$G$33:$G$64,"D")</f>
        <v>0</v>
      </c>
      <c r="G34" s="40">
        <f>SUMIFS(RH!$X$33:$X$64,RH!$H$33:$H$64,G$24,RH!$G$33:$G$64,"D")</f>
        <v>0</v>
      </c>
      <c r="H34" s="40">
        <f>SUMIFS(RH!$X$33:$X$64,RH!$H$33:$H$64,H$24,RH!$G$33:$G$64,"D")</f>
        <v>0</v>
      </c>
      <c r="I34" s="40">
        <f>SUMIFS(RH!$X$33:$X$64,RH!$H$33:$H$64,I$24,RH!$G$33:$G$64,"D")</f>
        <v>0</v>
      </c>
      <c r="J34" s="40">
        <f>SUMIFS(RH!$X$33:$X$64,RH!$H$33:$H$64,J$24,RH!$G$33:$G$64,"D")</f>
        <v>0</v>
      </c>
      <c r="K34" s="39">
        <f t="shared" si="6"/>
        <v>0</v>
      </c>
      <c r="L34" s="433"/>
      <c r="M34" s="433"/>
      <c r="N34" s="433"/>
      <c r="O34" s="433"/>
      <c r="P34" s="433"/>
      <c r="Q34" s="433"/>
      <c r="R34" s="433"/>
      <c r="S34" s="433"/>
      <c r="T34" s="433"/>
      <c r="U34" s="433"/>
      <c r="V34" s="433"/>
      <c r="W34" s="433"/>
      <c r="X34" s="433"/>
      <c r="Y34" s="433"/>
      <c r="Z34" s="433"/>
      <c r="AA34" s="433"/>
      <c r="AB34" s="433"/>
      <c r="AC34" s="433"/>
      <c r="AD34" s="433"/>
      <c r="AE34" s="433"/>
      <c r="AF34" s="196"/>
      <c r="AG34" s="43" t="str">
        <f t="shared" si="5"/>
        <v/>
      </c>
    </row>
    <row r="35" spans="1:42" s="4" customFormat="1" ht="15.95" customHeight="1">
      <c r="A35" s="55" t="s">
        <v>293</v>
      </c>
      <c r="B35" s="55">
        <v>99206</v>
      </c>
      <c r="C35" s="618" t="s">
        <v>299</v>
      </c>
      <c r="D35" s="618"/>
      <c r="E35" s="39">
        <f>SUM(F35:J35)</f>
        <v>0</v>
      </c>
      <c r="F35" s="40">
        <f>SUMIFS(OCD!$H$11:$H$28,OCD!$F$11:$F$28,F$24,OCD!$G$11:$G$28,$C35)</f>
        <v>0</v>
      </c>
      <c r="G35" s="40">
        <f>SUMIFS(OCD!$H$11:$H$28,OCD!$F$11:$F$28,G$24,OCD!$G$11:$G$28,$C35)</f>
        <v>0</v>
      </c>
      <c r="H35" s="40">
        <f>SUMIFS(OCD!$H$11:$H$28,OCD!$F$11:$F$28,H$24,OCD!$G$11:$G$28,$C35)</f>
        <v>0</v>
      </c>
      <c r="I35" s="40">
        <f>SUMIFS(OCD!$H$11:$H$28,OCD!$F$11:$F$28,I$24,OCD!$G$11:$G$28,$C35)</f>
        <v>0</v>
      </c>
      <c r="J35" s="40">
        <f>SUMIFS(OCD!$H$11:$H$28,OCD!$F$11:$F$28,J$24,OCD!$G$11:$G$28,$C35)</f>
        <v>0</v>
      </c>
      <c r="K35" s="39">
        <f t="shared" si="6"/>
        <v>0</v>
      </c>
      <c r="L35" s="433"/>
      <c r="M35" s="433"/>
      <c r="N35" s="433"/>
      <c r="O35" s="433"/>
      <c r="P35" s="433"/>
      <c r="Q35" s="433"/>
      <c r="R35" s="433"/>
      <c r="S35" s="433"/>
      <c r="T35" s="433"/>
      <c r="U35" s="433"/>
      <c r="V35" s="433"/>
      <c r="W35" s="433"/>
      <c r="X35" s="433"/>
      <c r="Y35" s="433"/>
      <c r="Z35" s="433"/>
      <c r="AA35" s="433"/>
      <c r="AB35" s="433"/>
      <c r="AC35" s="433"/>
      <c r="AD35" s="433"/>
      <c r="AE35" s="433"/>
      <c r="AF35" s="196"/>
      <c r="AG35" s="43" t="str">
        <f t="shared" si="5"/>
        <v/>
      </c>
    </row>
    <row r="36" spans="1:42" s="4" customFormat="1" ht="15.95" customHeight="1">
      <c r="A36" s="55" t="s">
        <v>293</v>
      </c>
      <c r="B36" s="55">
        <v>99216</v>
      </c>
      <c r="C36" s="618" t="s">
        <v>291</v>
      </c>
      <c r="D36" s="618"/>
      <c r="E36" s="39">
        <f t="shared" si="4"/>
        <v>0</v>
      </c>
      <c r="F36" s="40">
        <f>SUMIFS(OCD!$H$11:$H$28,OCD!$F$11:$F$28,F$24,OCD!$G$11:$G$28,$C36)</f>
        <v>0</v>
      </c>
      <c r="G36" s="40">
        <f>SUMIFS(OCD!$H$11:$H$28,OCD!$F$11:$F$28,G$24,OCD!$G$11:$G$28,$C36)</f>
        <v>0</v>
      </c>
      <c r="H36" s="40">
        <f>SUMIFS(OCD!$H$11:$H$28,OCD!$F$11:$F$28,H$24,OCD!$G$11:$G$28,$C36)</f>
        <v>0</v>
      </c>
      <c r="I36" s="40">
        <f>SUMIFS(OCD!$H$11:$H$28,OCD!$F$11:$F$28,I$24,OCD!$G$11:$G$28,$C36)</f>
        <v>0</v>
      </c>
      <c r="J36" s="40">
        <f>SUMIFS(OCD!$H$11:$H$28,OCD!$F$11:$F$28,J$24,OCD!$G$11:$G$28,$C36)</f>
        <v>0</v>
      </c>
      <c r="K36" s="39">
        <f t="shared" si="6"/>
        <v>0</v>
      </c>
      <c r="L36" s="433"/>
      <c r="M36" s="433"/>
      <c r="N36" s="433"/>
      <c r="O36" s="433"/>
      <c r="P36" s="433"/>
      <c r="Q36" s="433"/>
      <c r="R36" s="433"/>
      <c r="S36" s="433"/>
      <c r="T36" s="433"/>
      <c r="U36" s="433"/>
      <c r="V36" s="433"/>
      <c r="W36" s="433"/>
      <c r="X36" s="433"/>
      <c r="Y36" s="433"/>
      <c r="Z36" s="433"/>
      <c r="AA36" s="433"/>
      <c r="AB36" s="433"/>
      <c r="AC36" s="433"/>
      <c r="AD36" s="433"/>
      <c r="AE36" s="433"/>
      <c r="AF36" s="196"/>
      <c r="AG36" s="43" t="str">
        <f t="shared" si="5"/>
        <v/>
      </c>
    </row>
    <row r="37" spans="1:42" s="4" customFormat="1" ht="15.95" customHeight="1">
      <c r="A37" s="55" t="s">
        <v>293</v>
      </c>
      <c r="B37" s="55">
        <v>99217</v>
      </c>
      <c r="C37" s="427" t="s">
        <v>300</v>
      </c>
      <c r="D37" s="434" t="s">
        <v>429</v>
      </c>
      <c r="E37" s="39">
        <f>SUM(F37:J37)</f>
        <v>0</v>
      </c>
      <c r="F37" s="40">
        <f>SUMIFS(RH!$V$33:$V$64,RH!$H$33:$H$64,F$24,RH!$B$33:$B$64,"EC")  +  SUMIFS(RH!$W$33:$W$64,RH!$H$33:$H$64,F$24,RH!$B$33:$B$64,"EC")</f>
        <v>0</v>
      </c>
      <c r="G37" s="40">
        <f>SUMIFS(RH!$V$33:$V$64,RH!$H$33:$H$64,G$24,RH!$B$33:$B$64,"EC")  +  SUMIFS(RH!$W$33:$W$64,RH!$H$33:$H$64,G$24,RH!$B$33:$B$64,"EC")</f>
        <v>0</v>
      </c>
      <c r="H37" s="40">
        <f>SUMIFS(RH!$V$33:$V$64,RH!$H$33:$H$64,H$24,RH!$B$33:$B$64,"EC")  +  SUMIFS(RH!$W$33:$W$64,RH!$H$33:$H$64,H$24,RH!$B$33:$B$64,"EC")</f>
        <v>0</v>
      </c>
      <c r="I37" s="40">
        <f>SUMIFS(RH!$V$33:$V$64,RH!$H$33:$H$64,I$24,RH!$B$33:$B$64,"E")  +  SUMIFS(RH!$W$33:$W$64,RH!$H$33:$H$64,I$24,RH!$B$33:$B$64,"E")</f>
        <v>0</v>
      </c>
      <c r="J37" s="40">
        <f>SUMIFS(RH!$V$33:$V$64,RH!$H$33:$H$64,J$24,RH!$B$33:$B$64,"E")  +  SUMIFS(RH!$W$33:$W$64,RH!$H$33:$H$64,J$24,RH!$B$33:$B$64,"E")</f>
        <v>0</v>
      </c>
      <c r="K37" s="39">
        <f t="shared" si="6"/>
        <v>0</v>
      </c>
      <c r="L37" s="433"/>
      <c r="M37" s="433"/>
      <c r="N37" s="433"/>
      <c r="O37" s="433"/>
      <c r="P37" s="433"/>
      <c r="Q37" s="433"/>
      <c r="R37" s="433"/>
      <c r="S37" s="433"/>
      <c r="T37" s="433"/>
      <c r="U37" s="433"/>
      <c r="V37" s="433"/>
      <c r="W37" s="433"/>
      <c r="X37" s="433"/>
      <c r="Y37" s="433"/>
      <c r="Z37" s="433"/>
      <c r="AA37" s="433"/>
      <c r="AB37" s="433"/>
      <c r="AC37" s="433"/>
      <c r="AD37" s="433"/>
      <c r="AE37" s="433"/>
      <c r="AF37" s="196"/>
      <c r="AG37" s="43" t="str">
        <f t="shared" si="5"/>
        <v/>
      </c>
    </row>
    <row r="38" spans="1:42" s="4" customFormat="1" ht="15.95" customHeight="1">
      <c r="A38" s="55" t="s">
        <v>293</v>
      </c>
      <c r="B38" s="55">
        <v>99217</v>
      </c>
      <c r="C38" s="427" t="s">
        <v>300</v>
      </c>
      <c r="D38" s="434" t="s">
        <v>430</v>
      </c>
      <c r="E38" s="39">
        <f t="shared" si="4"/>
        <v>0</v>
      </c>
      <c r="F38" s="40">
        <f>SUMIFS(OCD!$H$11:$H$28,OCD!$F$11:$F$28,F$24,OCD!$G$11:$G$28,$C38)</f>
        <v>0</v>
      </c>
      <c r="G38" s="40">
        <f>SUMIFS(OCD!$H$11:$H$28,OCD!$F$11:$F$28,G$24,OCD!$G$11:$G$28,$C38)</f>
        <v>0</v>
      </c>
      <c r="H38" s="40">
        <f>SUMIFS(OCD!$H$11:$H$28,OCD!$F$11:$F$28,H$24,OCD!$G$11:$G$28,$C38)</f>
        <v>0</v>
      </c>
      <c r="I38" s="40">
        <f>SUMIFS(OCD!$H$11:$H$28,OCD!$F$11:$F$28,I$24,OCD!$G$11:$G$28,$C38)</f>
        <v>0</v>
      </c>
      <c r="J38" s="40">
        <f>SUMIFS(OCD!$H$11:$H$28,OCD!$F$11:$F$28,J$24,OCD!$G$11:$G$28,$C38)</f>
        <v>0</v>
      </c>
      <c r="K38" s="39">
        <f t="shared" si="6"/>
        <v>0</v>
      </c>
      <c r="L38" s="433"/>
      <c r="M38" s="433"/>
      <c r="N38" s="433"/>
      <c r="O38" s="433"/>
      <c r="P38" s="433"/>
      <c r="Q38" s="433"/>
      <c r="R38" s="433"/>
      <c r="S38" s="433"/>
      <c r="T38" s="433"/>
      <c r="U38" s="433"/>
      <c r="V38" s="433"/>
      <c r="W38" s="433"/>
      <c r="X38" s="433"/>
      <c r="Y38" s="433"/>
      <c r="Z38" s="433"/>
      <c r="AA38" s="433"/>
      <c r="AB38" s="433"/>
      <c r="AC38" s="433"/>
      <c r="AD38" s="433"/>
      <c r="AE38" s="433"/>
      <c r="AF38" s="196"/>
      <c r="AG38" s="43" t="str">
        <f t="shared" si="5"/>
        <v/>
      </c>
    </row>
    <row r="39" spans="1:42" s="282" customFormat="1" ht="15.95" customHeight="1">
      <c r="A39" s="55"/>
      <c r="B39" s="55"/>
      <c r="D39" s="429" t="s">
        <v>431</v>
      </c>
      <c r="E39" s="430">
        <f t="shared" ref="E39:J39" si="7">+SUM(E26:E38)</f>
        <v>0</v>
      </c>
      <c r="F39" s="430">
        <f t="shared" si="7"/>
        <v>0</v>
      </c>
      <c r="G39" s="430">
        <f t="shared" si="7"/>
        <v>0</v>
      </c>
      <c r="H39" s="430">
        <f t="shared" si="7"/>
        <v>0</v>
      </c>
      <c r="I39" s="430">
        <f t="shared" si="7"/>
        <v>0</v>
      </c>
      <c r="J39" s="430">
        <f t="shared" si="7"/>
        <v>0</v>
      </c>
      <c r="K39" s="430">
        <f t="shared" si="6"/>
        <v>0</v>
      </c>
      <c r="L39" s="435">
        <f>IF(LEN(L$8)&gt;1,SUM(L26:L38),0)</f>
        <v>0</v>
      </c>
      <c r="M39" s="435">
        <f t="shared" ref="M39:AE39" si="8">IF(LEN(M$8)&gt;1,SUM(M26:M38),0)</f>
        <v>0</v>
      </c>
      <c r="N39" s="435">
        <f t="shared" si="8"/>
        <v>0</v>
      </c>
      <c r="O39" s="435">
        <f t="shared" si="8"/>
        <v>0</v>
      </c>
      <c r="P39" s="435">
        <f t="shared" si="8"/>
        <v>0</v>
      </c>
      <c r="Q39" s="435">
        <f t="shared" si="8"/>
        <v>0</v>
      </c>
      <c r="R39" s="435">
        <f t="shared" si="8"/>
        <v>0</v>
      </c>
      <c r="S39" s="435">
        <f t="shared" si="8"/>
        <v>0</v>
      </c>
      <c r="T39" s="435">
        <f t="shared" si="8"/>
        <v>0</v>
      </c>
      <c r="U39" s="435">
        <f t="shared" si="8"/>
        <v>0</v>
      </c>
      <c r="V39" s="435">
        <f t="shared" si="8"/>
        <v>0</v>
      </c>
      <c r="W39" s="435">
        <f t="shared" si="8"/>
        <v>0</v>
      </c>
      <c r="X39" s="435">
        <f t="shared" si="8"/>
        <v>0</v>
      </c>
      <c r="Y39" s="435">
        <f t="shared" si="8"/>
        <v>0</v>
      </c>
      <c r="Z39" s="435">
        <f t="shared" si="8"/>
        <v>0</v>
      </c>
      <c r="AA39" s="435">
        <f t="shared" si="8"/>
        <v>0</v>
      </c>
      <c r="AB39" s="435">
        <f t="shared" si="8"/>
        <v>0</v>
      </c>
      <c r="AC39" s="435">
        <f t="shared" si="8"/>
        <v>0</v>
      </c>
      <c r="AD39" s="435">
        <f t="shared" si="8"/>
        <v>0</v>
      </c>
      <c r="AE39" s="435">
        <f t="shared" si="8"/>
        <v>0</v>
      </c>
      <c r="AF39" s="512"/>
      <c r="AG39" s="43" t="str">
        <f t="shared" si="5"/>
        <v/>
      </c>
      <c r="AH39" s="432"/>
    </row>
    <row r="40" spans="1:42" ht="32.1" customHeight="1">
      <c r="E40" s="14"/>
    </row>
    <row r="41" spans="1:42" ht="30" customHeight="1">
      <c r="C41" s="556" t="s">
        <v>432</v>
      </c>
      <c r="D41" s="556"/>
      <c r="E41" s="556"/>
      <c r="F41" s="556"/>
      <c r="G41" s="556"/>
      <c r="H41" s="556"/>
      <c r="I41" s="556"/>
      <c r="J41" s="556"/>
      <c r="K41" s="556"/>
      <c r="L41" s="556"/>
      <c r="M41" s="556"/>
      <c r="N41" s="556"/>
      <c r="O41" s="556"/>
      <c r="P41" s="556"/>
      <c r="Q41" s="556"/>
      <c r="R41" s="556"/>
      <c r="S41" s="556"/>
      <c r="T41" s="556"/>
      <c r="U41" s="556"/>
      <c r="V41" s="556"/>
      <c r="W41" s="556"/>
      <c r="X41" s="556"/>
      <c r="Y41" s="556"/>
      <c r="Z41" s="556"/>
      <c r="AA41" s="556"/>
      <c r="AB41" s="556"/>
      <c r="AC41" s="556"/>
      <c r="AD41" s="556"/>
      <c r="AE41" s="556"/>
      <c r="AG41" s="102"/>
    </row>
    <row r="42" spans="1:42" ht="15.95" customHeight="1">
      <c r="C42" s="221"/>
      <c r="D42" s="221"/>
      <c r="E42" s="197"/>
      <c r="F42" s="199"/>
      <c r="G42" s="197"/>
      <c r="H42" s="197"/>
      <c r="I42" s="197"/>
      <c r="J42" s="197"/>
    </row>
    <row r="43" spans="1:42" s="197" customFormat="1" ht="24" customHeight="1">
      <c r="A43" s="78"/>
      <c r="B43" s="78"/>
      <c r="C43" s="231"/>
      <c r="D43" s="229"/>
      <c r="E43" s="640" t="s">
        <v>415</v>
      </c>
      <c r="F43" s="641"/>
      <c r="G43" s="641"/>
      <c r="H43" s="641"/>
      <c r="I43" s="641"/>
      <c r="J43" s="642"/>
      <c r="K43" s="640" t="s">
        <v>416</v>
      </c>
      <c r="L43" s="641"/>
      <c r="M43" s="641"/>
      <c r="N43" s="641"/>
      <c r="O43" s="641"/>
      <c r="P43" s="641"/>
      <c r="Q43" s="641"/>
      <c r="R43" s="641"/>
      <c r="S43" s="641"/>
      <c r="T43" s="641"/>
      <c r="U43" s="641"/>
      <c r="V43" s="641"/>
      <c r="W43" s="641"/>
      <c r="X43" s="641"/>
      <c r="Y43" s="641"/>
      <c r="Z43" s="641"/>
      <c r="AA43" s="641"/>
      <c r="AB43" s="641"/>
      <c r="AC43" s="641"/>
      <c r="AD43" s="641"/>
      <c r="AE43" s="642"/>
      <c r="AG43" s="198"/>
      <c r="AH43" s="200"/>
    </row>
    <row r="44" spans="1:42" ht="15.95" customHeight="1">
      <c r="A44" s="653"/>
      <c r="B44" s="653"/>
      <c r="C44" s="649" t="s">
        <v>85</v>
      </c>
      <c r="D44" s="650"/>
      <c r="E44" s="647" t="s">
        <v>352</v>
      </c>
      <c r="F44" s="643" t="str">
        <f>Centro_Prop</f>
        <v>CESE</v>
      </c>
      <c r="G44" s="643">
        <f>Centro1</f>
        <v>0</v>
      </c>
      <c r="H44" s="643">
        <f>Centro2</f>
        <v>0</v>
      </c>
      <c r="I44" s="643">
        <f>Centro3</f>
        <v>0</v>
      </c>
      <c r="J44" s="645">
        <f>Centro4</f>
        <v>0</v>
      </c>
      <c r="K44" s="637" t="s">
        <v>417</v>
      </c>
      <c r="L44" s="639" t="str">
        <f>Centro_Prop</f>
        <v>CESE</v>
      </c>
      <c r="M44" s="639"/>
      <c r="N44" s="639"/>
      <c r="O44" s="639"/>
      <c r="P44" s="639">
        <f>Centro1</f>
        <v>0</v>
      </c>
      <c r="Q44" s="639"/>
      <c r="R44" s="639"/>
      <c r="S44" s="639"/>
      <c r="T44" s="639">
        <f>Centro2</f>
        <v>0</v>
      </c>
      <c r="U44" s="639"/>
      <c r="V44" s="639"/>
      <c r="W44" s="639"/>
      <c r="X44" s="639">
        <f>Centro3</f>
        <v>0</v>
      </c>
      <c r="Y44" s="639"/>
      <c r="Z44" s="639"/>
      <c r="AA44" s="639"/>
      <c r="AB44" s="639">
        <f>Centro4</f>
        <v>0</v>
      </c>
      <c r="AC44" s="639"/>
      <c r="AD44" s="639"/>
      <c r="AE44" s="639"/>
      <c r="AF44" s="511"/>
    </row>
    <row r="45" spans="1:42" ht="15.95" customHeight="1">
      <c r="A45" s="653"/>
      <c r="B45" s="653"/>
      <c r="C45" s="651"/>
      <c r="D45" s="652"/>
      <c r="E45" s="648"/>
      <c r="F45" s="644"/>
      <c r="G45" s="644"/>
      <c r="H45" s="644"/>
      <c r="I45" s="644"/>
      <c r="J45" s="646"/>
      <c r="K45" s="638"/>
      <c r="L45" s="230" t="s">
        <v>418</v>
      </c>
      <c r="M45" s="230" t="s">
        <v>419</v>
      </c>
      <c r="N45" s="230" t="s">
        <v>420</v>
      </c>
      <c r="O45" s="230" t="s">
        <v>421</v>
      </c>
      <c r="P45" s="230" t="s">
        <v>418</v>
      </c>
      <c r="Q45" s="230" t="s">
        <v>419</v>
      </c>
      <c r="R45" s="230" t="s">
        <v>420</v>
      </c>
      <c r="S45" s="230" t="s">
        <v>421</v>
      </c>
      <c r="T45" s="230" t="s">
        <v>418</v>
      </c>
      <c r="U45" s="230" t="s">
        <v>419</v>
      </c>
      <c r="V45" s="230" t="s">
        <v>420</v>
      </c>
      <c r="W45" s="230" t="s">
        <v>421</v>
      </c>
      <c r="X45" s="230" t="s">
        <v>418</v>
      </c>
      <c r="Y45" s="230" t="s">
        <v>419</v>
      </c>
      <c r="Z45" s="230" t="s">
        <v>420</v>
      </c>
      <c r="AA45" s="230" t="s">
        <v>421</v>
      </c>
      <c r="AB45" s="230" t="s">
        <v>418</v>
      </c>
      <c r="AC45" s="230" t="s">
        <v>419</v>
      </c>
      <c r="AD45" s="230" t="s">
        <v>420</v>
      </c>
      <c r="AE45" s="230" t="s">
        <v>421</v>
      </c>
    </row>
    <row r="46" spans="1:42" s="4" customFormat="1" ht="15.95" customHeight="1">
      <c r="A46" s="55" t="s">
        <v>433</v>
      </c>
      <c r="B46" s="55">
        <v>99301</v>
      </c>
      <c r="C46" s="618" t="s">
        <v>434</v>
      </c>
      <c r="D46" s="618"/>
      <c r="E46" s="39">
        <f t="shared" ref="E46:E47" ca="1" si="9">SUM(F46:J46)</f>
        <v>119954</v>
      </c>
      <c r="F46" s="40">
        <f ca="1">Indicadores_Proposta!E$79</f>
        <v>119954</v>
      </c>
      <c r="G46" s="40">
        <f ca="1">Indicadores_Proposta!F$79</f>
        <v>0</v>
      </c>
      <c r="H46" s="40">
        <f ca="1">Indicadores_Proposta!G$79</f>
        <v>0</v>
      </c>
      <c r="I46" s="40">
        <f ca="1">Indicadores_Proposta!H$79</f>
        <v>0</v>
      </c>
      <c r="J46" s="40">
        <f ca="1">Indicadores_Proposta!I$79</f>
        <v>0</v>
      </c>
      <c r="K46" s="39">
        <f t="shared" ref="K46:K47" si="10">SUMIFS(L46:AE46,$L$48:$AE$48,"V")</f>
        <v>0</v>
      </c>
      <c r="L46" s="433"/>
      <c r="M46" s="433"/>
      <c r="N46" s="433"/>
      <c r="O46" s="433"/>
      <c r="P46" s="433"/>
      <c r="Q46" s="433"/>
      <c r="R46" s="433"/>
      <c r="S46" s="433"/>
      <c r="T46" s="433"/>
      <c r="U46" s="433"/>
      <c r="V46" s="433"/>
      <c r="W46" s="433"/>
      <c r="X46" s="433"/>
      <c r="Y46" s="433"/>
      <c r="Z46" s="433"/>
      <c r="AA46" s="433"/>
      <c r="AB46" s="433"/>
      <c r="AC46" s="433"/>
      <c r="AD46" s="433"/>
      <c r="AE46" s="433"/>
      <c r="AF46" s="196"/>
      <c r="AG46" s="43" t="str">
        <f ca="1">IF(AND($E46=0,$K46=0),"",IF(AND(SUM($L46:$O46)&lt;=$F46+1,SUM($P46:$S46)&lt;=$G46+1,SUM($T46:$W46)&lt;=$H46+1,SUM($X46:$AA46)&lt;=$I46+1,SUM($AB46:$AE46)&lt;=$J46+1),"V","Erro"))</f>
        <v>V</v>
      </c>
      <c r="AP46" s="237"/>
    </row>
    <row r="47" spans="1:42" s="282" customFormat="1" ht="15.95" customHeight="1">
      <c r="A47" s="55"/>
      <c r="B47" s="55"/>
      <c r="D47" s="429" t="s">
        <v>435</v>
      </c>
      <c r="E47" s="430">
        <f t="shared" ca="1" si="9"/>
        <v>119954</v>
      </c>
      <c r="F47" s="430">
        <f ca="1">+SUM(F43:F46)</f>
        <v>119954</v>
      </c>
      <c r="G47" s="430">
        <f ca="1">+SUM(G43:G46)</f>
        <v>0</v>
      </c>
      <c r="H47" s="430">
        <f ca="1">+SUM(H43:H46)</f>
        <v>0</v>
      </c>
      <c r="I47" s="430">
        <f ca="1">+SUM(I43:I46)</f>
        <v>0</v>
      </c>
      <c r="J47" s="430">
        <f ca="1">+SUM(J43:J46)</f>
        <v>0</v>
      </c>
      <c r="K47" s="430">
        <f t="shared" si="10"/>
        <v>0</v>
      </c>
      <c r="L47" s="431">
        <f>IF(LEN(L$8)&gt;1,L46,0)</f>
        <v>0</v>
      </c>
      <c r="M47" s="431">
        <f t="shared" ref="M47:AE47" si="11">IF(LEN(M$8)&gt;1,M46,0)</f>
        <v>0</v>
      </c>
      <c r="N47" s="431">
        <f t="shared" si="11"/>
        <v>0</v>
      </c>
      <c r="O47" s="431">
        <f t="shared" si="11"/>
        <v>0</v>
      </c>
      <c r="P47" s="431">
        <f t="shared" si="11"/>
        <v>0</v>
      </c>
      <c r="Q47" s="431">
        <f t="shared" si="11"/>
        <v>0</v>
      </c>
      <c r="R47" s="431">
        <f t="shared" si="11"/>
        <v>0</v>
      </c>
      <c r="S47" s="431">
        <f t="shared" si="11"/>
        <v>0</v>
      </c>
      <c r="T47" s="431">
        <f t="shared" si="11"/>
        <v>0</v>
      </c>
      <c r="U47" s="431">
        <f t="shared" si="11"/>
        <v>0</v>
      </c>
      <c r="V47" s="431">
        <f t="shared" si="11"/>
        <v>0</v>
      </c>
      <c r="W47" s="431">
        <f t="shared" si="11"/>
        <v>0</v>
      </c>
      <c r="X47" s="431">
        <f t="shared" si="11"/>
        <v>0</v>
      </c>
      <c r="Y47" s="431">
        <f t="shared" si="11"/>
        <v>0</v>
      </c>
      <c r="Z47" s="431">
        <f t="shared" si="11"/>
        <v>0</v>
      </c>
      <c r="AA47" s="431">
        <f t="shared" si="11"/>
        <v>0</v>
      </c>
      <c r="AB47" s="431">
        <f t="shared" si="11"/>
        <v>0</v>
      </c>
      <c r="AC47" s="431">
        <f t="shared" si="11"/>
        <v>0</v>
      </c>
      <c r="AD47" s="431">
        <f t="shared" si="11"/>
        <v>0</v>
      </c>
      <c r="AE47" s="431">
        <f t="shared" si="11"/>
        <v>0</v>
      </c>
      <c r="AF47" s="512"/>
      <c r="AG47" s="43" t="str">
        <f ca="1">IF(AND($E47=0,$K47=0),"",IF(AND(SUM($L47:$O47)&lt;=$F47+1,SUM($P47:$S47)&lt;=$G47+1,SUM($T47:$W47)&lt;=$H47+1,SUM($X47:$AA47)&lt;=$I47+1,SUM($AB47:$AE47)&lt;=$J47+1),"V","Erro"))</f>
        <v>V</v>
      </c>
      <c r="AH47" s="432"/>
    </row>
    <row r="48" spans="1:42" s="78" customFormat="1" ht="15.95" customHeight="1">
      <c r="A48" s="78" t="s">
        <v>106</v>
      </c>
      <c r="B48" s="78" t="s">
        <v>190</v>
      </c>
      <c r="C48" s="487" t="s">
        <v>12</v>
      </c>
      <c r="D48" s="78" t="s">
        <v>12</v>
      </c>
      <c r="E48" s="78" t="s">
        <v>12</v>
      </c>
      <c r="F48" s="78" t="s">
        <v>12</v>
      </c>
      <c r="G48" s="78" t="str">
        <f t="shared" ref="G48:I48" si="12">IF(LEN(G$24)&lt;2,"X","V")</f>
        <v>X</v>
      </c>
      <c r="H48" s="78" t="str">
        <f t="shared" si="12"/>
        <v>X</v>
      </c>
      <c r="I48" s="78" t="str">
        <f t="shared" si="12"/>
        <v>X</v>
      </c>
      <c r="J48" s="78" t="str">
        <f>IF(LEN(J$24)&lt;2,"X","V")</f>
        <v>X</v>
      </c>
      <c r="L48" s="78" t="str">
        <f>IF(L$8="X","X","V")</f>
        <v>V</v>
      </c>
      <c r="M48" s="78" t="str">
        <f t="shared" ref="M48:AE48" si="13">IF(M$8="X","X","V")</f>
        <v>V</v>
      </c>
      <c r="N48" s="78" t="str">
        <f t="shared" si="13"/>
        <v>V</v>
      </c>
      <c r="O48" s="78" t="str">
        <f t="shared" si="13"/>
        <v>V</v>
      </c>
      <c r="P48" s="78" t="str">
        <f t="shared" si="13"/>
        <v>X</v>
      </c>
      <c r="Q48" s="78" t="str">
        <f t="shared" si="13"/>
        <v>X</v>
      </c>
      <c r="R48" s="78" t="str">
        <f t="shared" si="13"/>
        <v>X</v>
      </c>
      <c r="S48" s="78" t="str">
        <f t="shared" si="13"/>
        <v>X</v>
      </c>
      <c r="T48" s="78" t="str">
        <f t="shared" si="13"/>
        <v>X</v>
      </c>
      <c r="U48" s="78" t="str">
        <f t="shared" si="13"/>
        <v>X</v>
      </c>
      <c r="V48" s="78" t="str">
        <f t="shared" si="13"/>
        <v>X</v>
      </c>
      <c r="W48" s="78" t="str">
        <f t="shared" si="13"/>
        <v>X</v>
      </c>
      <c r="X48" s="78" t="str">
        <f t="shared" si="13"/>
        <v>X</v>
      </c>
      <c r="Y48" s="78" t="str">
        <f t="shared" si="13"/>
        <v>X</v>
      </c>
      <c r="Z48" s="78" t="str">
        <f t="shared" si="13"/>
        <v>X</v>
      </c>
      <c r="AA48" s="78" t="str">
        <f t="shared" si="13"/>
        <v>X</v>
      </c>
      <c r="AB48" s="78" t="str">
        <f t="shared" si="13"/>
        <v>X</v>
      </c>
      <c r="AC48" s="78" t="str">
        <f t="shared" si="13"/>
        <v>X</v>
      </c>
      <c r="AD48" s="78" t="str">
        <f t="shared" si="13"/>
        <v>X</v>
      </c>
      <c r="AE48" s="78" t="str">
        <f t="shared" si="13"/>
        <v>X</v>
      </c>
    </row>
    <row r="49" spans="1:34" ht="15.95" customHeight="1">
      <c r="C49"/>
      <c r="D49" s="47" t="s">
        <v>436</v>
      </c>
      <c r="E49"/>
      <c r="F49" s="27"/>
      <c r="G49" s="27"/>
      <c r="L49"/>
      <c r="M49"/>
      <c r="N49"/>
      <c r="O49"/>
      <c r="P49"/>
      <c r="Q49"/>
      <c r="R49"/>
      <c r="S49"/>
      <c r="T49"/>
      <c r="U49"/>
      <c r="V49"/>
      <c r="W49"/>
      <c r="X49"/>
      <c r="Y49"/>
      <c r="Z49"/>
      <c r="AA49"/>
      <c r="AB49"/>
      <c r="AC49"/>
      <c r="AD49"/>
      <c r="AE49"/>
    </row>
    <row r="50" spans="1:34" ht="15.95" customHeight="1">
      <c r="E50"/>
      <c r="F50" s="27"/>
      <c r="G50" s="27"/>
      <c r="L50" s="55"/>
      <c r="P50" s="55"/>
    </row>
    <row r="51" spans="1:34" ht="15.95" customHeight="1">
      <c r="E51"/>
      <c r="F51" s="27"/>
      <c r="G51" s="27"/>
    </row>
    <row r="52" spans="1:34" ht="15.95" customHeight="1"/>
    <row r="53" spans="1:34" ht="15.95" customHeight="1"/>
    <row r="54" spans="1:34" ht="15.95" customHeight="1"/>
    <row r="55" spans="1:34" ht="15.95" customHeight="1"/>
    <row r="56" spans="1:34" ht="15.95" customHeight="1"/>
    <row r="57" spans="1:34" ht="15.95" customHeight="1"/>
    <row r="58" spans="1:34" ht="15.95" customHeight="1">
      <c r="AF58" s="192"/>
    </row>
    <row r="59" spans="1:34" s="15" customFormat="1" ht="15.95" customHeight="1">
      <c r="A59" s="55"/>
      <c r="B59" s="55"/>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192"/>
      <c r="AG59" s="44"/>
      <c r="AH59" s="30"/>
    </row>
    <row r="60" spans="1:34" s="15" customFormat="1" ht="15.95" customHeight="1">
      <c r="A60" s="55"/>
      <c r="B60" s="55"/>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192"/>
      <c r="AG60" s="44"/>
      <c r="AH60" s="30"/>
    </row>
    <row r="61" spans="1:34" s="15" customFormat="1" ht="15.95" customHeight="1">
      <c r="A61" s="55"/>
      <c r="B61" s="55"/>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192"/>
      <c r="AG61" s="44"/>
      <c r="AH61" s="30"/>
    </row>
    <row r="62" spans="1:34" s="15" customFormat="1" ht="15.95" customHeight="1">
      <c r="A62" s="55"/>
      <c r="B62" s="55"/>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192"/>
      <c r="AG62" s="44"/>
      <c r="AH62" s="30"/>
    </row>
    <row r="63" spans="1:34" s="15" customFormat="1" ht="15.95" customHeight="1">
      <c r="A63" s="55"/>
      <c r="B63" s="55"/>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192"/>
      <c r="AG63" s="44"/>
      <c r="AH63" s="30"/>
    </row>
    <row r="64" spans="1:34" s="15" customFormat="1" ht="15.95" customHeight="1">
      <c r="A64" s="55"/>
      <c r="B64" s="55"/>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192"/>
      <c r="AG64" s="44"/>
      <c r="AH64" s="30"/>
    </row>
    <row r="65" spans="1:34" s="15" customFormat="1" ht="15.95" customHeight="1">
      <c r="A65" s="55"/>
      <c r="B65" s="55"/>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192"/>
      <c r="AG65" s="44"/>
      <c r="AH65" s="30"/>
    </row>
    <row r="66" spans="1:34" s="15" customFormat="1" ht="15.95" customHeight="1">
      <c r="A66" s="55"/>
      <c r="B66" s="55"/>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192"/>
      <c r="AG66" s="44"/>
      <c r="AH66" s="30"/>
    </row>
    <row r="67" spans="1:34" s="15" customFormat="1" ht="15.95" customHeight="1">
      <c r="A67" s="55"/>
      <c r="B67" s="55"/>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192"/>
      <c r="AG67" s="44"/>
      <c r="AH67" s="30"/>
    </row>
    <row r="68" spans="1:34" s="15" customFormat="1" ht="15.95" customHeight="1">
      <c r="A68" s="55"/>
      <c r="B68" s="55"/>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192"/>
      <c r="AG68" s="44"/>
      <c r="AH68" s="30"/>
    </row>
    <row r="69" spans="1:34" s="15" customFormat="1" ht="15.95" customHeight="1">
      <c r="A69" s="55"/>
      <c r="B69" s="55"/>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192"/>
      <c r="AG69" s="44"/>
      <c r="AH69" s="30"/>
    </row>
    <row r="70" spans="1:34" s="15" customFormat="1" ht="15.95" customHeight="1">
      <c r="A70" s="55"/>
      <c r="B70" s="55"/>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192"/>
      <c r="AG70" s="44"/>
      <c r="AH70" s="30"/>
    </row>
    <row r="71" spans="1:34" s="15" customFormat="1" ht="15.95" customHeight="1">
      <c r="A71" s="55"/>
      <c r="B71" s="55"/>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192"/>
      <c r="AG71" s="44"/>
      <c r="AH71" s="30"/>
    </row>
    <row r="72" spans="1:34" s="15" customFormat="1" ht="15.95" customHeight="1">
      <c r="A72" s="55"/>
      <c r="B72" s="55"/>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192"/>
      <c r="AG72" s="44"/>
      <c r="AH72" s="30"/>
    </row>
    <row r="73" spans="1:34" s="15" customFormat="1" ht="15.95" customHeight="1">
      <c r="A73" s="55"/>
      <c r="B73" s="55"/>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192"/>
      <c r="AG73" s="44"/>
      <c r="AH73" s="30"/>
    </row>
    <row r="74" spans="1:34" s="15" customFormat="1" ht="15.95" customHeight="1">
      <c r="A74" s="55"/>
      <c r="B74" s="55"/>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192"/>
      <c r="AG74" s="44"/>
      <c r="AH74" s="30"/>
    </row>
    <row r="75" spans="1:34" s="15" customFormat="1" ht="15.95" customHeight="1">
      <c r="A75" s="55"/>
      <c r="B75" s="55"/>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197"/>
      <c r="AG75" s="44"/>
      <c r="AH75" s="30"/>
    </row>
  </sheetData>
  <sheetProtection algorithmName="SHA-512" hashValue="tZC+xs19krrd3Ihemqqvm0jl6CHqfOO3z/3/zIx0cKsGq6q3NuH8RQ//c01tZSerXAKU2mRg+eoEYPUGrwsz5g==" saltValue="PnR7PwrbburVkVd1NvkssQ==" spinCount="100000" sheet="1" objects="1" scenarios="1"/>
  <mergeCells count="70">
    <mergeCell ref="C9:W9"/>
    <mergeCell ref="C21:W21"/>
    <mergeCell ref="C31:D31"/>
    <mergeCell ref="C32:D32"/>
    <mergeCell ref="C24:D25"/>
    <mergeCell ref="C12:D13"/>
    <mergeCell ref="E11:J11"/>
    <mergeCell ref="C14:D14"/>
    <mergeCell ref="H12:H13"/>
    <mergeCell ref="I12:I13"/>
    <mergeCell ref="J12:J13"/>
    <mergeCell ref="E12:E13"/>
    <mergeCell ref="K12:K13"/>
    <mergeCell ref="P12:S12"/>
    <mergeCell ref="K11:AE11"/>
    <mergeCell ref="AB12:AE12"/>
    <mergeCell ref="C2:J2"/>
    <mergeCell ref="P44:S44"/>
    <mergeCell ref="T44:W44"/>
    <mergeCell ref="C28:D28"/>
    <mergeCell ref="C29:D29"/>
    <mergeCell ref="F24:F25"/>
    <mergeCell ref="G24:G25"/>
    <mergeCell ref="L44:O44"/>
    <mergeCell ref="L12:O12"/>
    <mergeCell ref="H24:H25"/>
    <mergeCell ref="I24:I25"/>
    <mergeCell ref="C35:D35"/>
    <mergeCell ref="J24:J25"/>
    <mergeCell ref="K23:AE23"/>
    <mergeCell ref="E24:E25"/>
    <mergeCell ref="D3:E3"/>
    <mergeCell ref="B12:B13"/>
    <mergeCell ref="X44:AA44"/>
    <mergeCell ref="A44:A45"/>
    <mergeCell ref="B44:B45"/>
    <mergeCell ref="F44:F45"/>
    <mergeCell ref="G44:G45"/>
    <mergeCell ref="H44:H45"/>
    <mergeCell ref="T12:W12"/>
    <mergeCell ref="X12:AA12"/>
    <mergeCell ref="F12:F13"/>
    <mergeCell ref="G12:G13"/>
    <mergeCell ref="C15:D15"/>
    <mergeCell ref="C26:D26"/>
    <mergeCell ref="C27:D27"/>
    <mergeCell ref="E43:J43"/>
    <mergeCell ref="K44:K45"/>
    <mergeCell ref="C46:D46"/>
    <mergeCell ref="C16:D16"/>
    <mergeCell ref="C17:D17"/>
    <mergeCell ref="C18:D18"/>
    <mergeCell ref="C44:D45"/>
    <mergeCell ref="AB44:AE44"/>
    <mergeCell ref="C33:D33"/>
    <mergeCell ref="C34:D34"/>
    <mergeCell ref="C36:D36"/>
    <mergeCell ref="I44:I45"/>
    <mergeCell ref="J44:J45"/>
    <mergeCell ref="E44:E45"/>
    <mergeCell ref="K43:AE43"/>
    <mergeCell ref="C41:AE41"/>
    <mergeCell ref="K24:K25"/>
    <mergeCell ref="AB24:AE24"/>
    <mergeCell ref="C30:D30"/>
    <mergeCell ref="E23:J23"/>
    <mergeCell ref="L24:O24"/>
    <mergeCell ref="P24:S24"/>
    <mergeCell ref="T24:W24"/>
    <mergeCell ref="X24:AA24"/>
  </mergeCells>
  <conditionalFormatting sqref="E7:H7">
    <cfRule type="cellIs" dxfId="27" priority="6" operator="equal">
      <formula>0</formula>
    </cfRule>
  </conditionalFormatting>
  <conditionalFormatting sqref="J23:J30 J10:J20 J42:J47 J35:J40">
    <cfRule type="expression" priority="5">
      <formula>AND($A$1="X",LEN(J$5)&lt;2)</formula>
    </cfRule>
  </conditionalFormatting>
  <conditionalFormatting sqref="G23:I30 G10:I20 G42:I47 G35:I36 G38:I40 I37">
    <cfRule type="expression" priority="152">
      <formula>AND($A$1="X",LEN(F$5)&lt;2)</formula>
    </cfRule>
  </conditionalFormatting>
  <conditionalFormatting sqref="J31:J32">
    <cfRule type="expression" priority="1">
      <formula>AND($A$1="X",LEN(J$5)&lt;2)</formula>
    </cfRule>
  </conditionalFormatting>
  <conditionalFormatting sqref="I31:I32">
    <cfRule type="expression" priority="4">
      <formula>AND($A$1="X",LEN(H$5)&lt;2)</formula>
    </cfRule>
  </conditionalFormatting>
  <conditionalFormatting sqref="AG1:AG1048576">
    <cfRule type="cellIs" dxfId="26" priority="2" stopIfTrue="1" operator="equal">
      <formula>"V"</formula>
    </cfRule>
    <cfRule type="cellIs" dxfId="25" priority="3" stopIfTrue="1" operator="equal">
      <formula>"Erro"</formula>
    </cfRule>
  </conditionalFormatting>
  <printOptions horizontalCentered="1"/>
  <pageMargins left="0.39370078740157483" right="0.39370078740157483" top="0.78740157480314965" bottom="0.23622047244094491" header="0.39370078740157483" footer="0.19685039370078741"/>
  <pageSetup paperSize="9" scale="65" fitToWidth="0" fitToHeight="0" orientation="landscape" horizontalDpi="1200" verticalDpi="1200" r:id="rId1"/>
  <headerFooter>
    <oddHeader>&amp;L&amp;G&amp;C&amp;"Arial,Bold"
&amp;14PROJETO DE SERVIÇOS DE I&amp;&amp;D E CONSULTORIA</oddHeader>
  </headerFooter>
  <colBreaks count="1" manualBreakCount="1">
    <brk id="10" max="1048575" man="1"/>
  </colBreaks>
  <drawing r:id="rId2"/>
  <legacyDrawing r:id="rId3"/>
  <legacyDrawingHF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8">
    <tabColor theme="3" tint="0.79998168889431442"/>
  </sheetPr>
  <dimension ref="A1:V42"/>
  <sheetViews>
    <sheetView showGridLines="0" topLeftCell="B1" zoomScaleNormal="100" workbookViewId="0">
      <selection activeCell="B1" sqref="B1"/>
    </sheetView>
  </sheetViews>
  <sheetFormatPr defaultColWidth="9.140625" defaultRowHeight="14.1"/>
  <cols>
    <col min="1" max="1" width="8.140625" style="86" hidden="1" customWidth="1"/>
    <col min="2" max="2" width="9" style="15" customWidth="1"/>
    <col min="3" max="3" width="11.5703125" style="15" customWidth="1"/>
    <col min="4" max="19" width="11.5703125" style="3" customWidth="1"/>
    <col min="20" max="20" width="1.5703125" style="197" customWidth="1"/>
    <col min="21" max="21" width="4.5703125" style="3" customWidth="1"/>
    <col min="22" max="22" width="9.140625" style="33"/>
    <col min="23" max="16384" width="9.140625" style="3"/>
  </cols>
  <sheetData>
    <row r="1" spans="1:22" ht="24" customHeight="1">
      <c r="B1" s="87" t="s">
        <v>323</v>
      </c>
      <c r="D1" s="15"/>
      <c r="E1" s="20"/>
      <c r="F1" s="15"/>
      <c r="G1" s="15"/>
      <c r="H1" s="15"/>
      <c r="I1" s="15"/>
      <c r="J1" s="12"/>
      <c r="K1" s="12"/>
      <c r="L1" s="12"/>
      <c r="M1" s="12"/>
      <c r="N1" s="12"/>
      <c r="O1" s="12"/>
      <c r="P1" s="12"/>
      <c r="Q1" s="12"/>
      <c r="R1" s="12"/>
      <c r="U1" s="43" t="str">
        <f ca="1">IF(OR(Dados_Gerais!A1=FALSE,ABS(O6-O7)+ABS(P6-P7)+ABS(Q6-Q7)+ABS(R6-R7)+ABS(S6-S7)&lt;1),"V",IF($S$6=0,"F","Erro"))</f>
        <v>V</v>
      </c>
    </row>
    <row r="2" spans="1:22" s="324" customFormat="1" ht="30" customHeight="1">
      <c r="A2" s="86"/>
      <c r="B2" s="327"/>
      <c r="C2" s="328"/>
      <c r="D2" s="328"/>
      <c r="E2" s="328"/>
      <c r="F2" s="328"/>
      <c r="G2" s="328"/>
      <c r="H2" s="328"/>
      <c r="I2" s="329" t="s">
        <v>437</v>
      </c>
      <c r="K2" s="328"/>
      <c r="L2" s="328"/>
      <c r="M2" s="328"/>
      <c r="N2" s="328"/>
      <c r="T2" s="495"/>
      <c r="V2" s="331"/>
    </row>
    <row r="3" spans="1:22" ht="15.6">
      <c r="E3" s="77" t="s">
        <v>202</v>
      </c>
      <c r="F3" s="591" t="str">
        <f>Projeto</f>
        <v>Amorim_OT_F1</v>
      </c>
      <c r="G3" s="592"/>
      <c r="H3" s="77" t="s">
        <v>203</v>
      </c>
      <c r="I3" s="320">
        <f>Inicio</f>
        <v>46023</v>
      </c>
      <c r="J3" s="77" t="s">
        <v>133</v>
      </c>
      <c r="K3" s="321">
        <f>Fim</f>
        <v>46368</v>
      </c>
      <c r="L3"/>
      <c r="M3" s="205"/>
      <c r="N3" s="205"/>
      <c r="O3" s="568" t="s">
        <v>438</v>
      </c>
      <c r="P3" s="568"/>
      <c r="Q3" s="568"/>
      <c r="R3" s="568"/>
      <c r="S3" s="568"/>
    </row>
    <row r="4" spans="1:22" ht="9" customHeight="1">
      <c r="B4" s="3"/>
      <c r="C4" s="3"/>
      <c r="E4" s="311"/>
      <c r="O4" s="568"/>
      <c r="P4" s="568"/>
      <c r="Q4" s="568"/>
      <c r="R4" s="568"/>
      <c r="S4" s="568"/>
    </row>
    <row r="5" spans="1:22" ht="15.6">
      <c r="A5" s="86" t="s">
        <v>51</v>
      </c>
      <c r="B5" s="3"/>
      <c r="C5" s="3"/>
      <c r="E5" s="77" t="s">
        <v>207</v>
      </c>
      <c r="F5" s="315" t="str">
        <f>Centro_Prop</f>
        <v>CESE</v>
      </c>
      <c r="G5" s="315">
        <f>Centro1</f>
        <v>0</v>
      </c>
      <c r="H5" s="315">
        <f>Centro2</f>
        <v>0</v>
      </c>
      <c r="I5" s="315">
        <f>Centro3</f>
        <v>0</v>
      </c>
      <c r="J5" s="316">
        <f>Centro4</f>
        <v>0</v>
      </c>
      <c r="K5" s="309" t="s">
        <v>439</v>
      </c>
      <c r="L5" s="516" t="s">
        <v>127</v>
      </c>
      <c r="O5" s="218" t="s">
        <v>418</v>
      </c>
      <c r="P5" s="218" t="s">
        <v>419</v>
      </c>
      <c r="Q5" s="218" t="s">
        <v>420</v>
      </c>
      <c r="R5" s="218" t="s">
        <v>421</v>
      </c>
      <c r="S5" s="218" t="s">
        <v>412</v>
      </c>
      <c r="U5" s="33"/>
      <c r="V5" s="3"/>
    </row>
    <row r="6" spans="1:22" ht="15.6">
      <c r="A6" s="86" t="s">
        <v>105</v>
      </c>
      <c r="B6" s="3"/>
      <c r="C6" s="3"/>
      <c r="E6" s="77" t="s">
        <v>440</v>
      </c>
      <c r="F6" s="315">
        <f>IFERROR(INDEX(Dados_Gerais!$J$20:$J$28,MATCH(F$5,Dados_Gerais!$D$20:$D$28,0)),"")</f>
        <v>0</v>
      </c>
      <c r="G6" s="315" t="str">
        <f>IFERROR(INDEX(Dados_Gerais!$J$20:$J$28,MATCH(G$5,Dados_Gerais!$D$20:$D$28,0)),"")</f>
        <v/>
      </c>
      <c r="H6" s="315" t="str">
        <f>IFERROR(INDEX(Dados_Gerais!$J$20:$J$28,MATCH(H$5,Dados_Gerais!$D$20:$D$28,0)),"")</f>
        <v/>
      </c>
      <c r="I6" s="315" t="str">
        <f>IFERROR(INDEX(Dados_Gerais!$J$20:$J$28,MATCH(I$5,Dados_Gerais!$D$20:$D$28,0)),"")</f>
        <v/>
      </c>
      <c r="J6" s="315" t="str">
        <f>IFERROR(INDEX(Dados_Gerais!$J$20:$J$28,MATCH(J$5,Dados_Gerais!$D$20:$D$28,0)),"")</f>
        <v/>
      </c>
      <c r="K6" s="309" t="s">
        <v>441</v>
      </c>
      <c r="L6" s="315">
        <f>IFERROR(IF(Inicio=0,0,YEAR(Inicio)),0)</f>
        <v>2026</v>
      </c>
      <c r="M6" s="34"/>
      <c r="N6" s="34"/>
      <c r="O6" s="317">
        <f>SUM(G11:I40)</f>
        <v>0</v>
      </c>
      <c r="P6" s="317">
        <f>SUM(J11:L40)</f>
        <v>0</v>
      </c>
      <c r="Q6" s="317">
        <f>SUM(M11:O40)</f>
        <v>0</v>
      </c>
      <c r="R6" s="317">
        <f>SUM(P11:R40)</f>
        <v>0</v>
      </c>
      <c r="S6" s="317">
        <f>SUM(S11:S40)</f>
        <v>0</v>
      </c>
      <c r="U6" s="33"/>
      <c r="V6" s="3"/>
    </row>
    <row r="7" spans="1:22" ht="12" customHeight="1">
      <c r="B7" s="3"/>
      <c r="C7" s="3"/>
      <c r="O7" s="242">
        <f ca="1">SUMIFS(Orcamento_INESCTEC!$39:$39,Orcamento_INESCTEC!$8:$8,O$5)  +  SUMIFS(Orcamento_INESCTEC!$19:$19,Orcamento_INESCTEC!$8:$8,O$5)  +  SUMIFS(Orcamento_INESCTEC!$46:$46,Orcamento_INESCTEC!$8:$8,O$5)</f>
        <v>0</v>
      </c>
      <c r="P7" s="242">
        <f ca="1">SUMIFS(Orcamento_INESCTEC!$39:$39,Orcamento_INESCTEC!$8:$8,P$5)  +  SUMIFS(Orcamento_INESCTEC!$19:$19,Orcamento_INESCTEC!$8:$8,P$5)  +  SUMIFS(Orcamento_INESCTEC!$46:$46,Orcamento_INESCTEC!$8:$8,P$5)</f>
        <v>0</v>
      </c>
      <c r="Q7" s="242">
        <f ca="1">SUMIFS(Orcamento_INESCTEC!$39:$39,Orcamento_INESCTEC!$8:$8,Q$5)  +  SUMIFS(Orcamento_INESCTEC!$19:$19,Orcamento_INESCTEC!$8:$8,Q$5)  +  SUMIFS(Orcamento_INESCTEC!$46:$46,Orcamento_INESCTEC!$8:$8,Q$5)</f>
        <v>0</v>
      </c>
      <c r="R7" s="242">
        <f ca="1">SUMIFS(Orcamento_INESCTEC!$39:$39,Orcamento_INESCTEC!$8:$8,R$5)  +  SUMIFS(Orcamento_INESCTEC!$19:$19,Orcamento_INESCTEC!$8:$8,R$5)  +  SUMIFS(Orcamento_INESCTEC!$46:$46,Orcamento_INESCTEC!$8:$8,R$5)</f>
        <v>0</v>
      </c>
      <c r="S7" s="242">
        <f ca="1">SUMIFS(Orcamento_INESCTEC!$39:$39,Orcamento_INESCTEC!$8:$8,S$5)  +  SUMIFS(Orcamento_INESCTEC!$19:$19,Orcamento_INESCTEC!$8:$8,S$5)  +  SUMIFS(Orcamento_INESCTEC!$46:$46,Orcamento_INESCTEC!$8:$8,S$5)</f>
        <v>0</v>
      </c>
    </row>
    <row r="8" spans="1:22" s="247" customFormat="1" ht="9.9499999999999993" customHeight="1">
      <c r="A8" s="247" t="s">
        <v>101</v>
      </c>
      <c r="B8" s="247" t="s">
        <v>442</v>
      </c>
      <c r="C8" s="247" t="s">
        <v>443</v>
      </c>
      <c r="D8" s="247" t="s">
        <v>410</v>
      </c>
      <c r="F8" s="247" t="s">
        <v>105</v>
      </c>
      <c r="G8" s="247" t="s">
        <v>444</v>
      </c>
      <c r="S8" s="247" t="s">
        <v>352</v>
      </c>
      <c r="T8" s="247" t="s">
        <v>106</v>
      </c>
    </row>
    <row r="9" spans="1:22" s="4" customFormat="1" ht="30.75" customHeight="1">
      <c r="A9" s="86"/>
      <c r="B9" s="218" t="s">
        <v>445</v>
      </c>
      <c r="C9" s="218" t="s">
        <v>446</v>
      </c>
      <c r="D9" s="218" t="s">
        <v>447</v>
      </c>
      <c r="E9" s="218" t="s">
        <v>448</v>
      </c>
      <c r="F9" s="218" t="s">
        <v>449</v>
      </c>
      <c r="G9" s="218" t="s">
        <v>444</v>
      </c>
      <c r="H9" s="218" t="s">
        <v>450</v>
      </c>
      <c r="I9" s="218" t="s">
        <v>451</v>
      </c>
      <c r="J9" s="218" t="s">
        <v>452</v>
      </c>
      <c r="K9" s="218" t="s">
        <v>453</v>
      </c>
      <c r="L9" s="218" t="s">
        <v>454</v>
      </c>
      <c r="M9" s="218" t="s">
        <v>455</v>
      </c>
      <c r="N9" s="218" t="s">
        <v>456</v>
      </c>
      <c r="O9" s="218" t="s">
        <v>457</v>
      </c>
      <c r="P9" s="218" t="s">
        <v>458</v>
      </c>
      <c r="Q9" s="218" t="s">
        <v>459</v>
      </c>
      <c r="R9" s="218" t="s">
        <v>460</v>
      </c>
      <c r="S9" s="218" t="s">
        <v>352</v>
      </c>
      <c r="T9" s="196"/>
      <c r="V9" s="237"/>
    </row>
    <row r="10" spans="1:22" s="514" customFormat="1" ht="8.25" customHeight="1">
      <c r="A10" s="448"/>
      <c r="G10" s="514">
        <f t="shared" ref="G10:R10" si="0">IF(VALUE(SUBSTITUTE(G$9,"M",""))&gt;=MONTH(Inicio),1,0)</f>
        <v>1</v>
      </c>
      <c r="H10" s="514">
        <f t="shared" si="0"/>
        <v>1</v>
      </c>
      <c r="I10" s="514">
        <f t="shared" si="0"/>
        <v>1</v>
      </c>
      <c r="J10" s="514">
        <f t="shared" si="0"/>
        <v>1</v>
      </c>
      <c r="K10" s="514">
        <f t="shared" si="0"/>
        <v>1</v>
      </c>
      <c r="L10" s="514">
        <f t="shared" si="0"/>
        <v>1</v>
      </c>
      <c r="M10" s="514">
        <f t="shared" si="0"/>
        <v>1</v>
      </c>
      <c r="N10" s="514">
        <f t="shared" si="0"/>
        <v>1</v>
      </c>
      <c r="O10" s="514">
        <f t="shared" si="0"/>
        <v>1</v>
      </c>
      <c r="P10" s="514">
        <f t="shared" si="0"/>
        <v>1</v>
      </c>
      <c r="Q10" s="514">
        <f t="shared" si="0"/>
        <v>1</v>
      </c>
      <c r="R10" s="514">
        <f t="shared" si="0"/>
        <v>1</v>
      </c>
      <c r="T10" s="192"/>
      <c r="V10" s="515"/>
    </row>
    <row r="11" spans="1:22" s="4" customFormat="1" ht="15.95" customHeight="1">
      <c r="A11" s="86"/>
      <c r="B11" s="64"/>
      <c r="C11" s="239"/>
      <c r="D11" s="240"/>
      <c r="E11" s="236"/>
      <c r="F11" s="238"/>
      <c r="G11" s="241"/>
      <c r="H11" s="241"/>
      <c r="I11" s="241"/>
      <c r="J11" s="241"/>
      <c r="K11" s="241"/>
      <c r="L11" s="241"/>
      <c r="M11" s="241"/>
      <c r="N11" s="241"/>
      <c r="O11" s="241"/>
      <c r="P11" s="241"/>
      <c r="Q11" s="241"/>
      <c r="R11" s="241"/>
      <c r="S11" s="241"/>
      <c r="T11" s="196"/>
      <c r="V11" s="237"/>
    </row>
    <row r="12" spans="1:22" s="4" customFormat="1" ht="15.95" customHeight="1">
      <c r="A12" s="86"/>
      <c r="B12" s="64"/>
      <c r="C12" s="239"/>
      <c r="D12" s="240"/>
      <c r="E12" s="236"/>
      <c r="F12" s="238"/>
      <c r="G12" s="241"/>
      <c r="H12" s="241"/>
      <c r="I12" s="241"/>
      <c r="J12" s="241"/>
      <c r="K12" s="241"/>
      <c r="L12" s="241"/>
      <c r="M12" s="241"/>
      <c r="N12" s="241"/>
      <c r="O12" s="241"/>
      <c r="P12" s="241"/>
      <c r="Q12" s="241"/>
      <c r="R12" s="241"/>
      <c r="S12" s="241"/>
      <c r="T12" s="196"/>
      <c r="V12" s="237"/>
    </row>
    <row r="13" spans="1:22" s="4" customFormat="1" ht="15.95" customHeight="1">
      <c r="A13" s="86"/>
      <c r="B13" s="64"/>
      <c r="C13" s="239"/>
      <c r="D13" s="240"/>
      <c r="E13" s="236"/>
      <c r="F13" s="238"/>
      <c r="G13" s="241"/>
      <c r="H13" s="241"/>
      <c r="I13" s="241"/>
      <c r="J13" s="241"/>
      <c r="K13" s="241"/>
      <c r="L13" s="241"/>
      <c r="M13" s="241"/>
      <c r="N13" s="241"/>
      <c r="O13" s="241"/>
      <c r="P13" s="241"/>
      <c r="Q13" s="241"/>
      <c r="R13" s="241"/>
      <c r="S13" s="241"/>
      <c r="T13" s="196"/>
      <c r="V13" s="237"/>
    </row>
    <row r="14" spans="1:22" s="4" customFormat="1" ht="15.95" customHeight="1">
      <c r="A14" s="86"/>
      <c r="B14" s="64"/>
      <c r="C14" s="239"/>
      <c r="D14" s="240"/>
      <c r="E14" s="236"/>
      <c r="F14" s="238"/>
      <c r="G14" s="241"/>
      <c r="H14" s="241"/>
      <c r="I14" s="241"/>
      <c r="J14" s="241"/>
      <c r="K14" s="241"/>
      <c r="L14" s="241"/>
      <c r="M14" s="241"/>
      <c r="N14" s="241"/>
      <c r="O14" s="241"/>
      <c r="P14" s="241"/>
      <c r="Q14" s="241"/>
      <c r="R14" s="241"/>
      <c r="S14" s="241"/>
      <c r="T14" s="196"/>
      <c r="V14" s="237"/>
    </row>
    <row r="15" spans="1:22" s="4" customFormat="1" ht="15.95" customHeight="1">
      <c r="A15" s="86"/>
      <c r="B15" s="64"/>
      <c r="C15" s="239"/>
      <c r="D15" s="240"/>
      <c r="E15" s="236"/>
      <c r="F15" s="238"/>
      <c r="G15" s="241"/>
      <c r="H15" s="241"/>
      <c r="I15" s="241"/>
      <c r="J15" s="241"/>
      <c r="K15" s="241"/>
      <c r="L15" s="241"/>
      <c r="M15" s="241"/>
      <c r="N15" s="241"/>
      <c r="O15" s="241"/>
      <c r="P15" s="241"/>
      <c r="Q15" s="241"/>
      <c r="R15" s="241"/>
      <c r="S15" s="241"/>
      <c r="T15" s="196"/>
      <c r="V15" s="237"/>
    </row>
    <row r="16" spans="1:22" s="4" customFormat="1" ht="15.95" customHeight="1">
      <c r="A16" s="86"/>
      <c r="B16" s="64"/>
      <c r="C16" s="239"/>
      <c r="D16" s="240"/>
      <c r="E16" s="236"/>
      <c r="F16" s="238"/>
      <c r="G16" s="241"/>
      <c r="H16" s="241"/>
      <c r="I16" s="241"/>
      <c r="J16" s="241"/>
      <c r="K16" s="241"/>
      <c r="L16" s="241"/>
      <c r="M16" s="241"/>
      <c r="N16" s="241"/>
      <c r="O16" s="241"/>
      <c r="P16" s="241"/>
      <c r="Q16" s="241"/>
      <c r="R16" s="241"/>
      <c r="S16" s="241"/>
      <c r="T16" s="196"/>
      <c r="V16" s="237"/>
    </row>
    <row r="17" spans="1:22" s="4" customFormat="1" ht="15.95" customHeight="1">
      <c r="A17" s="86"/>
      <c r="B17" s="64"/>
      <c r="C17" s="239"/>
      <c r="D17" s="240"/>
      <c r="E17" s="236"/>
      <c r="F17" s="238"/>
      <c r="G17" s="241"/>
      <c r="H17" s="241"/>
      <c r="I17" s="241"/>
      <c r="J17" s="241"/>
      <c r="K17" s="241"/>
      <c r="L17" s="241"/>
      <c r="M17" s="241"/>
      <c r="N17" s="241"/>
      <c r="O17" s="241"/>
      <c r="P17" s="241"/>
      <c r="Q17" s="241"/>
      <c r="R17" s="241"/>
      <c r="S17" s="241"/>
      <c r="T17" s="196"/>
      <c r="V17" s="237"/>
    </row>
    <row r="18" spans="1:22" s="4" customFormat="1" ht="15.95" customHeight="1">
      <c r="A18" s="86"/>
      <c r="B18" s="64"/>
      <c r="C18" s="239"/>
      <c r="D18" s="240"/>
      <c r="E18" s="236"/>
      <c r="F18" s="238"/>
      <c r="G18" s="241"/>
      <c r="H18" s="241"/>
      <c r="I18" s="241"/>
      <c r="J18" s="241"/>
      <c r="K18" s="241"/>
      <c r="L18" s="241"/>
      <c r="M18" s="241"/>
      <c r="N18" s="241"/>
      <c r="O18" s="241"/>
      <c r="P18" s="241"/>
      <c r="Q18" s="241"/>
      <c r="R18" s="241"/>
      <c r="S18" s="241"/>
      <c r="T18" s="196"/>
      <c r="V18" s="237"/>
    </row>
    <row r="19" spans="1:22" s="4" customFormat="1" ht="15.95" customHeight="1">
      <c r="A19" s="86"/>
      <c r="B19" s="64"/>
      <c r="C19" s="239"/>
      <c r="D19" s="240"/>
      <c r="E19" s="236"/>
      <c r="F19" s="238"/>
      <c r="G19" s="241"/>
      <c r="H19" s="241"/>
      <c r="I19" s="241"/>
      <c r="J19" s="241"/>
      <c r="K19" s="241"/>
      <c r="L19" s="241"/>
      <c r="M19" s="241"/>
      <c r="N19" s="241"/>
      <c r="O19" s="241"/>
      <c r="P19" s="241"/>
      <c r="Q19" s="241"/>
      <c r="R19" s="241"/>
      <c r="S19" s="241"/>
      <c r="T19" s="196"/>
      <c r="V19" s="237"/>
    </row>
    <row r="20" spans="1:22" s="4" customFormat="1" ht="15.95" customHeight="1">
      <c r="A20" s="86"/>
      <c r="B20" s="64"/>
      <c r="C20" s="239"/>
      <c r="D20" s="240"/>
      <c r="E20" s="236"/>
      <c r="F20" s="238"/>
      <c r="G20" s="241"/>
      <c r="H20" s="241"/>
      <c r="I20" s="241"/>
      <c r="J20" s="241"/>
      <c r="K20" s="241"/>
      <c r="L20" s="241"/>
      <c r="M20" s="241"/>
      <c r="N20" s="241"/>
      <c r="O20" s="241"/>
      <c r="P20" s="241"/>
      <c r="Q20" s="241"/>
      <c r="R20" s="241"/>
      <c r="S20" s="241"/>
      <c r="T20" s="196"/>
      <c r="V20" s="237"/>
    </row>
    <row r="21" spans="1:22" s="4" customFormat="1" ht="15.95" customHeight="1">
      <c r="A21" s="86"/>
      <c r="B21" s="64"/>
      <c r="C21" s="239"/>
      <c r="D21" s="240"/>
      <c r="E21" s="236"/>
      <c r="F21" s="238"/>
      <c r="G21" s="241"/>
      <c r="H21" s="241"/>
      <c r="I21" s="241"/>
      <c r="J21" s="241"/>
      <c r="K21" s="241"/>
      <c r="L21" s="241"/>
      <c r="M21" s="241"/>
      <c r="N21" s="241"/>
      <c r="O21" s="241"/>
      <c r="P21" s="241"/>
      <c r="Q21" s="241"/>
      <c r="R21" s="241"/>
      <c r="S21" s="241"/>
      <c r="T21" s="196"/>
      <c r="V21" s="237"/>
    </row>
    <row r="22" spans="1:22" s="4" customFormat="1" ht="15.95" customHeight="1">
      <c r="A22" s="86"/>
      <c r="B22" s="64"/>
      <c r="C22" s="239"/>
      <c r="D22" s="240"/>
      <c r="E22" s="236"/>
      <c r="F22" s="238"/>
      <c r="G22" s="241"/>
      <c r="H22" s="241"/>
      <c r="I22" s="241"/>
      <c r="J22" s="241"/>
      <c r="K22" s="241"/>
      <c r="L22" s="241"/>
      <c r="M22" s="241"/>
      <c r="N22" s="241"/>
      <c r="O22" s="241"/>
      <c r="P22" s="241"/>
      <c r="Q22" s="241"/>
      <c r="R22" s="241"/>
      <c r="S22" s="241"/>
      <c r="T22" s="196"/>
      <c r="V22" s="237"/>
    </row>
    <row r="23" spans="1:22" s="4" customFormat="1" ht="15.95" customHeight="1">
      <c r="A23" s="86"/>
      <c r="B23" s="64"/>
      <c r="C23" s="239"/>
      <c r="D23" s="240"/>
      <c r="E23" s="236"/>
      <c r="F23" s="238"/>
      <c r="G23" s="241"/>
      <c r="H23" s="241"/>
      <c r="I23" s="241"/>
      <c r="J23" s="241"/>
      <c r="K23" s="241"/>
      <c r="L23" s="241"/>
      <c r="M23" s="241"/>
      <c r="N23" s="241"/>
      <c r="O23" s="241"/>
      <c r="P23" s="241"/>
      <c r="Q23" s="241"/>
      <c r="R23" s="241"/>
      <c r="S23" s="241"/>
      <c r="T23" s="196"/>
      <c r="V23" s="237"/>
    </row>
    <row r="24" spans="1:22" s="4" customFormat="1" ht="15.95" customHeight="1">
      <c r="A24" s="86"/>
      <c r="B24" s="64"/>
      <c r="C24" s="239"/>
      <c r="D24" s="240"/>
      <c r="E24" s="236"/>
      <c r="F24" s="238"/>
      <c r="G24" s="241"/>
      <c r="H24" s="241"/>
      <c r="I24" s="241"/>
      <c r="J24" s="241"/>
      <c r="K24" s="241"/>
      <c r="L24" s="241"/>
      <c r="M24" s="241"/>
      <c r="N24" s="241"/>
      <c r="O24" s="241"/>
      <c r="P24" s="241"/>
      <c r="Q24" s="241"/>
      <c r="R24" s="241"/>
      <c r="S24" s="241"/>
      <c r="T24" s="196"/>
      <c r="V24" s="237"/>
    </row>
    <row r="25" spans="1:22" s="4" customFormat="1" ht="15.95" customHeight="1">
      <c r="A25" s="86"/>
      <c r="B25" s="64"/>
      <c r="C25" s="239"/>
      <c r="D25" s="240"/>
      <c r="E25" s="236"/>
      <c r="F25" s="238"/>
      <c r="G25" s="241"/>
      <c r="H25" s="241"/>
      <c r="I25" s="241"/>
      <c r="J25" s="241"/>
      <c r="K25" s="241"/>
      <c r="L25" s="241"/>
      <c r="M25" s="241"/>
      <c r="N25" s="241"/>
      <c r="O25" s="241"/>
      <c r="P25" s="241"/>
      <c r="Q25" s="241"/>
      <c r="R25" s="241"/>
      <c r="S25" s="241"/>
      <c r="T25" s="196"/>
      <c r="V25" s="237"/>
    </row>
    <row r="26" spans="1:22" s="4" customFormat="1" ht="15.95" customHeight="1">
      <c r="A26" s="86"/>
      <c r="B26" s="64"/>
      <c r="C26" s="239"/>
      <c r="D26" s="240"/>
      <c r="E26" s="236"/>
      <c r="F26" s="238"/>
      <c r="G26" s="241"/>
      <c r="H26" s="241"/>
      <c r="I26" s="241"/>
      <c r="J26" s="241"/>
      <c r="K26" s="241"/>
      <c r="L26" s="241"/>
      <c r="M26" s="241"/>
      <c r="N26" s="241"/>
      <c r="O26" s="241"/>
      <c r="P26" s="241"/>
      <c r="Q26" s="241"/>
      <c r="R26" s="241"/>
      <c r="S26" s="241"/>
      <c r="T26" s="196"/>
      <c r="V26" s="237"/>
    </row>
    <row r="27" spans="1:22" s="4" customFormat="1" ht="15.95" customHeight="1">
      <c r="A27" s="86"/>
      <c r="B27" s="64"/>
      <c r="C27" s="239"/>
      <c r="D27" s="240"/>
      <c r="E27" s="236"/>
      <c r="F27" s="238"/>
      <c r="G27" s="241"/>
      <c r="H27" s="241"/>
      <c r="I27" s="241"/>
      <c r="J27" s="241"/>
      <c r="K27" s="241"/>
      <c r="L27" s="241"/>
      <c r="M27" s="241"/>
      <c r="N27" s="241"/>
      <c r="O27" s="241"/>
      <c r="P27" s="241"/>
      <c r="Q27" s="241"/>
      <c r="R27" s="241"/>
      <c r="S27" s="241"/>
      <c r="T27" s="196"/>
      <c r="V27" s="237"/>
    </row>
    <row r="28" spans="1:22" s="4" customFormat="1" ht="15.95" customHeight="1">
      <c r="A28" s="86"/>
      <c r="B28" s="64"/>
      <c r="C28" s="239"/>
      <c r="D28" s="240"/>
      <c r="E28" s="236"/>
      <c r="F28" s="238"/>
      <c r="G28" s="241"/>
      <c r="H28" s="241"/>
      <c r="I28" s="241"/>
      <c r="J28" s="241"/>
      <c r="K28" s="241"/>
      <c r="L28" s="241"/>
      <c r="M28" s="241"/>
      <c r="N28" s="241"/>
      <c r="O28" s="241"/>
      <c r="P28" s="241"/>
      <c r="Q28" s="241"/>
      <c r="R28" s="241"/>
      <c r="S28" s="241"/>
      <c r="T28" s="196"/>
      <c r="V28" s="237"/>
    </row>
    <row r="29" spans="1:22" s="4" customFormat="1" ht="15.95" customHeight="1">
      <c r="A29" s="86"/>
      <c r="B29" s="64"/>
      <c r="C29" s="239"/>
      <c r="D29" s="240"/>
      <c r="E29" s="236"/>
      <c r="F29" s="238"/>
      <c r="G29" s="241"/>
      <c r="H29" s="241"/>
      <c r="I29" s="241"/>
      <c r="J29" s="241"/>
      <c r="K29" s="241"/>
      <c r="L29" s="241"/>
      <c r="M29" s="241"/>
      <c r="N29" s="241"/>
      <c r="O29" s="241"/>
      <c r="P29" s="241"/>
      <c r="Q29" s="241"/>
      <c r="R29" s="241"/>
      <c r="S29" s="241"/>
      <c r="T29" s="196"/>
      <c r="V29" s="237"/>
    </row>
    <row r="30" spans="1:22" s="4" customFormat="1" ht="15.95" customHeight="1">
      <c r="A30" s="86"/>
      <c r="B30" s="64"/>
      <c r="C30" s="239"/>
      <c r="D30" s="240"/>
      <c r="E30" s="236"/>
      <c r="F30" s="238"/>
      <c r="G30" s="241"/>
      <c r="H30" s="241"/>
      <c r="I30" s="241"/>
      <c r="J30" s="241"/>
      <c r="K30" s="241"/>
      <c r="L30" s="241"/>
      <c r="M30" s="241"/>
      <c r="N30" s="241"/>
      <c r="O30" s="241"/>
      <c r="P30" s="241"/>
      <c r="Q30" s="241"/>
      <c r="R30" s="241"/>
      <c r="S30" s="241"/>
      <c r="T30" s="196"/>
      <c r="V30" s="237"/>
    </row>
    <row r="31" spans="1:22" s="4" customFormat="1" ht="15.95" customHeight="1">
      <c r="A31" s="86"/>
      <c r="B31" s="64"/>
      <c r="C31" s="239"/>
      <c r="D31" s="240"/>
      <c r="E31" s="236"/>
      <c r="F31" s="238"/>
      <c r="G31" s="241"/>
      <c r="H31" s="241"/>
      <c r="I31" s="241"/>
      <c r="J31" s="241"/>
      <c r="K31" s="241"/>
      <c r="L31" s="241"/>
      <c r="M31" s="241"/>
      <c r="N31" s="241"/>
      <c r="O31" s="241"/>
      <c r="P31" s="241"/>
      <c r="Q31" s="241"/>
      <c r="R31" s="241"/>
      <c r="S31" s="241"/>
      <c r="T31" s="196"/>
      <c r="V31" s="237"/>
    </row>
    <row r="32" spans="1:22" s="4" customFormat="1" ht="15.95" customHeight="1">
      <c r="A32" s="86"/>
      <c r="B32" s="64"/>
      <c r="C32" s="239"/>
      <c r="D32" s="240"/>
      <c r="E32" s="236"/>
      <c r="F32" s="238"/>
      <c r="G32" s="241"/>
      <c r="H32" s="241"/>
      <c r="I32" s="241"/>
      <c r="J32" s="241"/>
      <c r="K32" s="241"/>
      <c r="L32" s="241"/>
      <c r="M32" s="241"/>
      <c r="N32" s="241"/>
      <c r="O32" s="241"/>
      <c r="P32" s="241"/>
      <c r="Q32" s="241"/>
      <c r="R32" s="241"/>
      <c r="S32" s="241"/>
      <c r="T32" s="196"/>
      <c r="V32" s="237"/>
    </row>
    <row r="33" spans="1:22" s="4" customFormat="1" ht="15.95" customHeight="1">
      <c r="A33" s="86"/>
      <c r="B33" s="64"/>
      <c r="C33" s="239"/>
      <c r="D33" s="240"/>
      <c r="E33" s="236"/>
      <c r="F33" s="238"/>
      <c r="G33" s="241"/>
      <c r="H33" s="241"/>
      <c r="I33" s="241"/>
      <c r="J33" s="241"/>
      <c r="K33" s="241"/>
      <c r="L33" s="241"/>
      <c r="M33" s="241"/>
      <c r="N33" s="241"/>
      <c r="O33" s="241"/>
      <c r="P33" s="241"/>
      <c r="Q33" s="241"/>
      <c r="R33" s="241"/>
      <c r="S33" s="241"/>
      <c r="T33" s="196"/>
      <c r="V33" s="237"/>
    </row>
    <row r="34" spans="1:22" s="4" customFormat="1" ht="15.95" customHeight="1">
      <c r="A34" s="86"/>
      <c r="B34" s="64"/>
      <c r="C34" s="239"/>
      <c r="D34" s="240"/>
      <c r="E34" s="236"/>
      <c r="F34" s="238"/>
      <c r="G34" s="241"/>
      <c r="H34" s="241"/>
      <c r="I34" s="241"/>
      <c r="J34" s="241"/>
      <c r="K34" s="241"/>
      <c r="L34" s="241"/>
      <c r="M34" s="241"/>
      <c r="N34" s="241"/>
      <c r="O34" s="241"/>
      <c r="P34" s="241"/>
      <c r="Q34" s="241"/>
      <c r="R34" s="241"/>
      <c r="S34" s="241"/>
      <c r="T34" s="196"/>
      <c r="V34" s="237"/>
    </row>
    <row r="35" spans="1:22" s="4" customFormat="1" ht="15.95" customHeight="1">
      <c r="A35" s="86"/>
      <c r="B35" s="64"/>
      <c r="C35" s="239"/>
      <c r="D35" s="240"/>
      <c r="E35" s="236"/>
      <c r="F35" s="238"/>
      <c r="G35" s="241"/>
      <c r="H35" s="241"/>
      <c r="I35" s="241"/>
      <c r="J35" s="241"/>
      <c r="K35" s="241"/>
      <c r="L35" s="241"/>
      <c r="M35" s="241"/>
      <c r="N35" s="241"/>
      <c r="O35" s="241"/>
      <c r="P35" s="241"/>
      <c r="Q35" s="241"/>
      <c r="R35" s="241"/>
      <c r="S35" s="241"/>
      <c r="T35" s="196"/>
      <c r="V35" s="237"/>
    </row>
    <row r="36" spans="1:22" s="4" customFormat="1" ht="15.95" customHeight="1">
      <c r="A36" s="86"/>
      <c r="B36" s="64"/>
      <c r="C36" s="239"/>
      <c r="D36" s="240"/>
      <c r="E36" s="236"/>
      <c r="F36" s="238"/>
      <c r="G36" s="241"/>
      <c r="H36" s="241"/>
      <c r="I36" s="241"/>
      <c r="J36" s="241"/>
      <c r="K36" s="241"/>
      <c r="L36" s="241"/>
      <c r="M36" s="241"/>
      <c r="N36" s="241"/>
      <c r="O36" s="241"/>
      <c r="P36" s="241"/>
      <c r="Q36" s="241"/>
      <c r="R36" s="241"/>
      <c r="S36" s="241"/>
      <c r="T36" s="196"/>
      <c r="V36" s="237"/>
    </row>
    <row r="37" spans="1:22" s="4" customFormat="1" ht="15.95" customHeight="1">
      <c r="A37" s="86"/>
      <c r="B37" s="64"/>
      <c r="C37" s="239"/>
      <c r="D37" s="240"/>
      <c r="E37" s="236"/>
      <c r="F37" s="238"/>
      <c r="G37" s="241"/>
      <c r="H37" s="241"/>
      <c r="I37" s="241"/>
      <c r="J37" s="241"/>
      <c r="K37" s="241"/>
      <c r="L37" s="241"/>
      <c r="M37" s="241"/>
      <c r="N37" s="241"/>
      <c r="O37" s="241"/>
      <c r="P37" s="241"/>
      <c r="Q37" s="241"/>
      <c r="R37" s="241"/>
      <c r="S37" s="241"/>
      <c r="T37" s="196"/>
      <c r="V37" s="237"/>
    </row>
    <row r="38" spans="1:22" s="4" customFormat="1" ht="15.95" customHeight="1">
      <c r="A38" s="86"/>
      <c r="B38" s="64"/>
      <c r="C38" s="239"/>
      <c r="D38" s="240"/>
      <c r="E38" s="236"/>
      <c r="F38" s="238"/>
      <c r="G38" s="241"/>
      <c r="H38" s="241"/>
      <c r="I38" s="241"/>
      <c r="J38" s="241"/>
      <c r="K38" s="241"/>
      <c r="L38" s="241"/>
      <c r="M38" s="241"/>
      <c r="N38" s="241"/>
      <c r="O38" s="241"/>
      <c r="P38" s="241"/>
      <c r="Q38" s="241"/>
      <c r="R38" s="241"/>
      <c r="S38" s="241"/>
      <c r="T38" s="196"/>
      <c r="V38" s="237"/>
    </row>
    <row r="39" spans="1:22" s="197" customFormat="1">
      <c r="A39" s="86"/>
      <c r="B39" s="64"/>
      <c r="C39" s="239"/>
      <c r="D39" s="240"/>
      <c r="E39" s="236"/>
      <c r="F39" s="238"/>
      <c r="G39" s="241"/>
      <c r="H39" s="241"/>
      <c r="I39" s="241"/>
      <c r="J39" s="241"/>
      <c r="K39" s="241"/>
      <c r="L39" s="241"/>
      <c r="M39" s="241"/>
      <c r="N39" s="241"/>
      <c r="O39" s="241"/>
      <c r="P39" s="241"/>
      <c r="Q39" s="241"/>
      <c r="R39" s="241"/>
      <c r="S39" s="241"/>
      <c r="U39" s="3"/>
      <c r="V39" s="200"/>
    </row>
    <row r="40" spans="1:22">
      <c r="B40" s="64"/>
      <c r="C40" s="239"/>
      <c r="D40" s="240"/>
      <c r="E40" s="236"/>
      <c r="F40" s="238"/>
      <c r="G40" s="241"/>
      <c r="H40" s="241"/>
      <c r="I40" s="241"/>
      <c r="J40" s="241"/>
      <c r="K40" s="241"/>
      <c r="L40" s="241"/>
      <c r="M40" s="241"/>
      <c r="N40" s="241"/>
      <c r="O40" s="241"/>
      <c r="P40" s="241"/>
      <c r="Q40" s="241"/>
      <c r="R40" s="241"/>
      <c r="S40" s="241"/>
    </row>
    <row r="41" spans="1:22" s="192" customFormat="1">
      <c r="A41" s="247" t="s">
        <v>106</v>
      </c>
      <c r="B41" s="192" t="s">
        <v>12</v>
      </c>
      <c r="G41" s="192">
        <f t="shared" ref="G41:R41" si="1">IF(VALUE(SUBSTITUTE(G$9,"M",""))&gt;=MONTH(Inicio),1,0)</f>
        <v>1</v>
      </c>
      <c r="H41" s="192">
        <f t="shared" si="1"/>
        <v>1</v>
      </c>
      <c r="I41" s="192">
        <f t="shared" si="1"/>
        <v>1</v>
      </c>
      <c r="J41" s="192">
        <f t="shared" si="1"/>
        <v>1</v>
      </c>
      <c r="K41" s="192">
        <f t="shared" si="1"/>
        <v>1</v>
      </c>
      <c r="L41" s="192">
        <f t="shared" si="1"/>
        <v>1</v>
      </c>
      <c r="M41" s="192">
        <f t="shared" si="1"/>
        <v>1</v>
      </c>
      <c r="N41" s="192">
        <f t="shared" si="1"/>
        <v>1</v>
      </c>
      <c r="O41" s="192">
        <f t="shared" si="1"/>
        <v>1</v>
      </c>
      <c r="P41" s="192">
        <f t="shared" si="1"/>
        <v>1</v>
      </c>
      <c r="Q41" s="192">
        <f t="shared" si="1"/>
        <v>1</v>
      </c>
      <c r="R41" s="192">
        <f t="shared" si="1"/>
        <v>1</v>
      </c>
      <c r="V41" s="513"/>
    </row>
    <row r="42" spans="1:22">
      <c r="B42" s="55"/>
      <c r="C42" s="55"/>
      <c r="D42" s="55"/>
      <c r="E42" s="55"/>
      <c r="F42" s="55"/>
      <c r="G42" s="55"/>
      <c r="H42" s="55"/>
      <c r="I42" s="55"/>
      <c r="J42" s="55"/>
      <c r="K42" s="55"/>
      <c r="L42" s="55"/>
      <c r="M42" s="55"/>
      <c r="N42" s="55"/>
      <c r="O42" s="55"/>
      <c r="P42" s="55"/>
      <c r="Q42" s="55"/>
      <c r="R42" s="55"/>
      <c r="S42" s="55"/>
    </row>
  </sheetData>
  <sheetProtection algorithmName="SHA-512" hashValue="XoNN2vssmESkD3zfKoapuy0QWleuacd9w9KG6VADcZukg7fdvF0OlmWDtfsMel2K2Fr24ukssPC3zIjqCkYVVA==" saltValue="AbRsS3ZeuqWcK4mT8IsVKw==" spinCount="100000" sheet="1" objects="1" scenarios="1"/>
  <mergeCells count="2">
    <mergeCell ref="F3:G3"/>
    <mergeCell ref="O3:S4"/>
  </mergeCells>
  <conditionalFormatting sqref="U1">
    <cfRule type="cellIs" dxfId="24" priority="1" operator="equal">
      <formula>"F"</formula>
    </cfRule>
    <cfRule type="cellIs" dxfId="23" priority="2" stopIfTrue="1" operator="equal">
      <formula>"V"</formula>
    </cfRule>
    <cfRule type="cellIs" dxfId="22" priority="3" stopIfTrue="1" operator="equal">
      <formula>"Erro"</formula>
    </cfRule>
  </conditionalFormatting>
  <printOptions horizontalCentered="1"/>
  <pageMargins left="0.31496062992125984" right="0.31496062992125984" top="0.74803149606299213" bottom="0.74803149606299213" header="0.31496062992125984" footer="0.31496062992125984"/>
  <pageSetup scale="60" orientation="landscape" horizontalDpi="1200" verticalDpi="1200"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6">
    <tabColor theme="3"/>
  </sheetPr>
  <dimension ref="A1:T91"/>
  <sheetViews>
    <sheetView showGridLines="0" zoomScaleNormal="100" workbookViewId="0"/>
  </sheetViews>
  <sheetFormatPr defaultColWidth="9.140625" defaultRowHeight="12.6"/>
  <cols>
    <col min="1" max="14" width="12.5703125" style="57" customWidth="1"/>
    <col min="15" max="16" width="10.5703125" style="57" customWidth="1"/>
    <col min="17" max="20" width="8.85546875" customWidth="1"/>
    <col min="21" max="16384" width="9.140625" style="57"/>
  </cols>
  <sheetData>
    <row r="1" spans="1:16" s="2" customFormat="1" ht="30" customHeight="1">
      <c r="A1" s="1" t="s">
        <v>461</v>
      </c>
      <c r="B1" s="93"/>
      <c r="C1" s="67"/>
      <c r="D1" s="67"/>
      <c r="E1" s="68"/>
      <c r="F1" s="68"/>
    </row>
    <row r="2" spans="1:16" s="8" customFormat="1" ht="6" customHeight="1" thickBot="1">
      <c r="A2" s="7"/>
      <c r="B2" s="7"/>
      <c r="C2" s="7"/>
      <c r="D2" s="7"/>
      <c r="E2" s="7"/>
      <c r="F2" s="7"/>
      <c r="G2" s="7"/>
    </row>
    <row r="3" spans="1:16" s="56" customFormat="1" ht="48" customHeight="1" thickBot="1">
      <c r="A3" s="691" t="s">
        <v>462</v>
      </c>
      <c r="B3" s="692"/>
      <c r="C3" s="114" t="s">
        <v>463</v>
      </c>
      <c r="D3" s="697" t="s">
        <v>164</v>
      </c>
      <c r="E3" s="697"/>
      <c r="F3" s="698"/>
    </row>
    <row r="4" spans="1:16" s="3" customFormat="1" ht="6.75" customHeight="1" thickBot="1">
      <c r="A4" s="69"/>
      <c r="B4" s="69"/>
      <c r="C4" s="70"/>
      <c r="D4" s="696"/>
      <c r="E4" s="696"/>
    </row>
    <row r="5" spans="1:16" s="56" customFormat="1" ht="15.95" customHeight="1">
      <c r="A5" s="732" t="s">
        <v>464</v>
      </c>
      <c r="B5" s="733"/>
      <c r="C5" s="112" t="s">
        <v>176</v>
      </c>
      <c r="D5" s="703" t="s">
        <v>242</v>
      </c>
      <c r="E5" s="703"/>
      <c r="F5" s="704"/>
      <c r="G5" s="71" t="s">
        <v>465</v>
      </c>
      <c r="J5"/>
    </row>
    <row r="6" spans="1:16" s="56" customFormat="1" ht="15.95" customHeight="1">
      <c r="A6" s="734"/>
      <c r="B6" s="735"/>
      <c r="C6" s="537" t="s">
        <v>178</v>
      </c>
      <c r="D6" s="705" t="s">
        <v>337</v>
      </c>
      <c r="E6" s="706"/>
      <c r="F6" s="707"/>
      <c r="G6" s="71"/>
      <c r="J6"/>
    </row>
    <row r="7" spans="1:16" s="56" customFormat="1" ht="15.95" customHeight="1">
      <c r="A7" s="734"/>
      <c r="B7" s="735"/>
      <c r="C7" s="537" t="s">
        <v>180</v>
      </c>
      <c r="D7" s="705" t="s">
        <v>338</v>
      </c>
      <c r="E7" s="706"/>
      <c r="F7" s="707"/>
      <c r="G7" s="71"/>
      <c r="J7"/>
    </row>
    <row r="8" spans="1:16" s="56" customFormat="1" ht="15.95" customHeight="1" thickBot="1">
      <c r="A8" s="736"/>
      <c r="B8" s="619"/>
      <c r="C8" s="64" t="s">
        <v>182</v>
      </c>
      <c r="D8" s="712" t="s">
        <v>339</v>
      </c>
      <c r="E8" s="713"/>
      <c r="F8" s="714"/>
      <c r="G8" s="71"/>
      <c r="J8"/>
    </row>
    <row r="9" spans="1:16" s="56" customFormat="1" ht="15.95" customHeight="1">
      <c r="A9" s="726" t="s">
        <v>340</v>
      </c>
      <c r="B9" s="727"/>
      <c r="C9" s="112" t="s">
        <v>176</v>
      </c>
      <c r="D9" s="703" t="s">
        <v>341</v>
      </c>
      <c r="E9" s="703"/>
      <c r="F9" s="704"/>
      <c r="G9" s="71" t="s">
        <v>465</v>
      </c>
      <c r="J9"/>
    </row>
    <row r="10" spans="1:16" s="56" customFormat="1" ht="15.95" customHeight="1">
      <c r="A10" s="728"/>
      <c r="B10" s="729"/>
      <c r="C10" s="64" t="s">
        <v>178</v>
      </c>
      <c r="D10" s="701" t="s">
        <v>244</v>
      </c>
      <c r="E10" s="701"/>
      <c r="F10" s="702"/>
    </row>
    <row r="11" spans="1:16" s="56" customFormat="1" ht="15.95" customHeight="1">
      <c r="A11" s="728"/>
      <c r="B11" s="729"/>
      <c r="C11" s="64" t="s">
        <v>180</v>
      </c>
      <c r="D11" s="701" t="s">
        <v>179</v>
      </c>
      <c r="E11" s="701"/>
      <c r="F11" s="702"/>
    </row>
    <row r="12" spans="1:16" s="56" customFormat="1" ht="15.95" customHeight="1">
      <c r="A12" s="728"/>
      <c r="B12" s="729"/>
      <c r="C12" s="64" t="s">
        <v>182</v>
      </c>
      <c r="D12" s="701" t="s">
        <v>181</v>
      </c>
      <c r="E12" s="701"/>
      <c r="F12" s="702"/>
    </row>
    <row r="13" spans="1:16" s="56" customFormat="1" ht="15.95" customHeight="1">
      <c r="A13" s="728"/>
      <c r="B13" s="729"/>
      <c r="C13" s="64" t="s">
        <v>184</v>
      </c>
      <c r="D13" s="701" t="s">
        <v>183</v>
      </c>
      <c r="E13" s="701"/>
      <c r="F13" s="702"/>
    </row>
    <row r="14" spans="1:16" s="56" customFormat="1" ht="15.95" customHeight="1" thickBot="1">
      <c r="A14" s="730"/>
      <c r="B14" s="731"/>
      <c r="C14" s="113" t="s">
        <v>186</v>
      </c>
      <c r="D14" s="699" t="s">
        <v>185</v>
      </c>
      <c r="E14" s="699"/>
      <c r="F14" s="700"/>
    </row>
    <row r="15" spans="1:16" ht="24" customHeight="1"/>
    <row r="16" spans="1:16" s="2" customFormat="1" ht="30" customHeight="1">
      <c r="A16" s="1" t="s">
        <v>466</v>
      </c>
      <c r="B16" s="93"/>
      <c r="C16" s="67"/>
      <c r="D16" s="67"/>
      <c r="E16" s="68"/>
      <c r="F16" s="68"/>
      <c r="G16" s="68"/>
      <c r="H16" s="68"/>
      <c r="I16" s="68"/>
      <c r="J16" s="1" t="s">
        <v>467</v>
      </c>
      <c r="K16" s="128"/>
      <c r="L16" s="128"/>
      <c r="M16" s="128"/>
      <c r="N16" s="128"/>
      <c r="O16" s="128"/>
      <c r="P16" s="128"/>
    </row>
    <row r="17" spans="1:16" s="8" customFormat="1" ht="13.35" customHeight="1" thickBot="1">
      <c r="A17" s="7"/>
      <c r="B17" s="7"/>
      <c r="C17" s="7"/>
      <c r="D17" s="7"/>
      <c r="E17" s="7"/>
      <c r="F17" s="7"/>
      <c r="G17" s="7"/>
      <c r="H17" s="7"/>
      <c r="J17" s="129"/>
      <c r="K17" s="130"/>
      <c r="L17" s="130"/>
      <c r="M17" s="130"/>
      <c r="N17" s="129"/>
    </row>
    <row r="18" spans="1:16" s="72" customFormat="1" ht="36.75" customHeight="1">
      <c r="A18" s="672" t="s">
        <v>468</v>
      </c>
      <c r="B18" s="673"/>
      <c r="C18" s="655" t="s">
        <v>469</v>
      </c>
      <c r="D18" s="655" t="s">
        <v>68</v>
      </c>
      <c r="E18" s="655" t="s">
        <v>165</v>
      </c>
      <c r="F18" s="655" t="s">
        <v>470</v>
      </c>
      <c r="G18" s="655" t="s">
        <v>471</v>
      </c>
      <c r="H18" s="655" t="s">
        <v>472</v>
      </c>
      <c r="I18" s="655" t="s">
        <v>473</v>
      </c>
      <c r="J18" s="682" t="s">
        <v>474</v>
      </c>
      <c r="K18" s="686" t="s">
        <v>475</v>
      </c>
      <c r="L18" s="687"/>
      <c r="M18" s="688"/>
      <c r="N18" s="463" t="s">
        <v>476</v>
      </c>
      <c r="O18" s="676" t="s">
        <v>477</v>
      </c>
      <c r="P18" s="677"/>
    </row>
    <row r="19" spans="1:16" s="72" customFormat="1" ht="36.75" customHeight="1" thickBot="1">
      <c r="A19" s="674"/>
      <c r="B19" s="675"/>
      <c r="C19" s="656"/>
      <c r="D19" s="656"/>
      <c r="E19" s="656"/>
      <c r="F19" s="656"/>
      <c r="G19" s="656"/>
      <c r="H19" s="656"/>
      <c r="I19" s="656"/>
      <c r="J19" s="683"/>
      <c r="K19" s="190" t="s">
        <v>478</v>
      </c>
      <c r="L19" s="190" t="s">
        <v>479</v>
      </c>
      <c r="M19" s="190" t="s">
        <v>480</v>
      </c>
      <c r="N19" s="461" t="s">
        <v>481</v>
      </c>
      <c r="O19" s="264" t="s">
        <v>482</v>
      </c>
      <c r="P19" s="265" t="s">
        <v>483</v>
      </c>
    </row>
    <row r="20" spans="1:16" s="9" customFormat="1" ht="6" customHeight="1" thickBot="1">
      <c r="A20" s="57"/>
      <c r="B20" s="57"/>
      <c r="C20" s="57"/>
      <c r="D20" s="57"/>
      <c r="G20" s="57"/>
      <c r="H20" s="57"/>
      <c r="I20" s="57"/>
      <c r="J20" s="103"/>
      <c r="K20" s="131"/>
      <c r="L20" s="131"/>
      <c r="M20" s="131"/>
      <c r="N20" s="103"/>
    </row>
    <row r="21" spans="1:16" s="9" customFormat="1" ht="15.95" customHeight="1">
      <c r="A21" s="659" t="s">
        <v>484</v>
      </c>
      <c r="B21" s="660"/>
      <c r="C21" s="161" t="str">
        <f>RIGHT($A21,LEN($A21)-FIND("_",$A21))</f>
        <v>Contratado</v>
      </c>
      <c r="D21" s="669" t="s">
        <v>485</v>
      </c>
      <c r="E21" s="117" t="str">
        <f>LEFT($A21,FIND("_",$A21)-1)</f>
        <v>F0</v>
      </c>
      <c r="F21" s="118">
        <f>ROUND(F22*1.35,0)</f>
        <v>5880</v>
      </c>
      <c r="G21" s="118">
        <f t="shared" ref="G21:G33" si="0">IF($F21=0,0,ROUND((Seg_Saude_Ano/11  +   ($F21*14*(1+C_Taxa_Seg_Soc)  +  C_Dias_Uteis_Subs_Alim_Ano*C_Subs_Alim_Dia  + ($F21*14+C_Dias_Uteis_Subs_Alim_Ano*C_Subs_Alim_Dia)*C_Taxa_Seg_Acid_Trab)/11)/10,0)*10)</f>
        <v>9450</v>
      </c>
      <c r="H21" s="119"/>
      <c r="I21" s="118">
        <f t="shared" ref="I21:I38" si="1">SUM(G21:H21)</f>
        <v>9450</v>
      </c>
      <c r="J21" s="138">
        <v>1</v>
      </c>
      <c r="K21" s="132"/>
      <c r="L21" s="132"/>
      <c r="M21" s="132"/>
      <c r="N21" s="133"/>
      <c r="O21" s="262">
        <f t="shared" ref="O21:O27" si="2">ROUND(SQRT($F21*$F22),0)</f>
        <v>5061</v>
      </c>
      <c r="P21" s="163"/>
    </row>
    <row r="22" spans="1:16" s="9" customFormat="1" ht="15.95" customHeight="1">
      <c r="A22" s="657" t="s">
        <v>486</v>
      </c>
      <c r="B22" s="658"/>
      <c r="C22" s="58" t="str">
        <f t="shared" ref="C22:C43" si="3">RIGHT($A22,LEN($A22)-FIND("_",$A22))</f>
        <v>Contratado</v>
      </c>
      <c r="D22" s="670"/>
      <c r="E22" s="73" t="str">
        <f t="shared" ref="E22:E43" si="4">LEFT($A22,FIND("_",$A22)-1)</f>
        <v>F1</v>
      </c>
      <c r="F22" s="360">
        <v>4355.68</v>
      </c>
      <c r="G22" s="74">
        <f t="shared" si="0"/>
        <v>7070</v>
      </c>
      <c r="H22" s="105"/>
      <c r="I22" s="74">
        <f t="shared" si="1"/>
        <v>7070</v>
      </c>
      <c r="J22" s="139">
        <v>1</v>
      </c>
      <c r="K22" s="134"/>
      <c r="L22" s="134"/>
      <c r="M22" s="134"/>
      <c r="N22" s="135"/>
      <c r="O22" s="263">
        <f t="shared" si="2"/>
        <v>3896</v>
      </c>
      <c r="P22" s="164">
        <f t="shared" ref="P22:P28" si="5">ROUND(SQRT($F21*$F22),0)</f>
        <v>5061</v>
      </c>
    </row>
    <row r="23" spans="1:16" s="9" customFormat="1" ht="15.95" customHeight="1">
      <c r="A23" s="657" t="s">
        <v>487</v>
      </c>
      <c r="B23" s="658"/>
      <c r="C23" s="58" t="str">
        <f t="shared" si="3"/>
        <v>Contratado</v>
      </c>
      <c r="D23" s="670"/>
      <c r="E23" s="73" t="str">
        <f t="shared" si="4"/>
        <v>F2</v>
      </c>
      <c r="F23" s="360">
        <v>3484.34</v>
      </c>
      <c r="G23" s="74">
        <f t="shared" si="0"/>
        <v>5700</v>
      </c>
      <c r="H23" s="105"/>
      <c r="I23" s="74">
        <f t="shared" si="1"/>
        <v>5700</v>
      </c>
      <c r="J23" s="139">
        <v>1</v>
      </c>
      <c r="K23" s="134"/>
      <c r="L23" s="134"/>
      <c r="M23" s="134"/>
      <c r="N23" s="135"/>
      <c r="O23" s="263">
        <f t="shared" si="2"/>
        <v>3129</v>
      </c>
      <c r="P23" s="164">
        <f t="shared" si="5"/>
        <v>3896</v>
      </c>
    </row>
    <row r="24" spans="1:16" s="9" customFormat="1" ht="15.95" customHeight="1">
      <c r="A24" s="657" t="s">
        <v>488</v>
      </c>
      <c r="B24" s="658"/>
      <c r="C24" s="58" t="str">
        <f t="shared" si="3"/>
        <v>Contratado</v>
      </c>
      <c r="D24" s="670"/>
      <c r="E24" s="73" t="str">
        <f t="shared" si="4"/>
        <v>F3</v>
      </c>
      <c r="F24" s="360">
        <v>2810.15</v>
      </c>
      <c r="G24" s="74">
        <f t="shared" si="0"/>
        <v>4650</v>
      </c>
      <c r="H24" s="105"/>
      <c r="I24" s="74">
        <f t="shared" si="1"/>
        <v>4650</v>
      </c>
      <c r="J24" s="139">
        <v>1</v>
      </c>
      <c r="K24" s="134"/>
      <c r="L24" s="134"/>
      <c r="M24" s="134"/>
      <c r="N24" s="135"/>
      <c r="O24" s="263">
        <f t="shared" si="2"/>
        <v>2541</v>
      </c>
      <c r="P24" s="164">
        <f t="shared" si="5"/>
        <v>3129</v>
      </c>
    </row>
    <row r="25" spans="1:16" s="9" customFormat="1" ht="15.95" customHeight="1">
      <c r="A25" s="657" t="s">
        <v>489</v>
      </c>
      <c r="B25" s="658"/>
      <c r="C25" s="58" t="str">
        <f t="shared" si="3"/>
        <v>Contratado</v>
      </c>
      <c r="D25" s="670"/>
      <c r="E25" s="73" t="str">
        <f t="shared" si="4"/>
        <v>F3A</v>
      </c>
      <c r="F25" s="360">
        <v>2297.85</v>
      </c>
      <c r="G25" s="74">
        <f t="shared" si="0"/>
        <v>3850</v>
      </c>
      <c r="H25" s="105"/>
      <c r="I25" s="74">
        <f t="shared" si="1"/>
        <v>3850</v>
      </c>
      <c r="J25" s="139">
        <v>1</v>
      </c>
      <c r="K25" s="134"/>
      <c r="L25" s="134"/>
      <c r="M25" s="134"/>
      <c r="N25" s="135"/>
      <c r="O25" s="263">
        <f t="shared" si="2"/>
        <v>2092</v>
      </c>
      <c r="P25" s="164">
        <f t="shared" si="5"/>
        <v>2541</v>
      </c>
    </row>
    <row r="26" spans="1:16" s="9" customFormat="1" ht="15.95" customHeight="1">
      <c r="A26" s="657" t="s">
        <v>490</v>
      </c>
      <c r="B26" s="658"/>
      <c r="C26" s="58" t="str">
        <f t="shared" si="3"/>
        <v>Contratado</v>
      </c>
      <c r="D26" s="670"/>
      <c r="E26" s="73" t="str">
        <f t="shared" si="4"/>
        <v>F4</v>
      </c>
      <c r="F26" s="360">
        <v>1904.85</v>
      </c>
      <c r="G26" s="74">
        <f t="shared" si="0"/>
        <v>3230</v>
      </c>
      <c r="H26" s="105"/>
      <c r="I26" s="74">
        <f t="shared" si="1"/>
        <v>3230</v>
      </c>
      <c r="J26" s="139">
        <v>1</v>
      </c>
      <c r="K26" s="134"/>
      <c r="L26" s="134"/>
      <c r="M26" s="134"/>
      <c r="N26" s="135"/>
      <c r="O26" s="263">
        <f t="shared" si="2"/>
        <v>1745</v>
      </c>
      <c r="P26" s="164">
        <f t="shared" si="5"/>
        <v>2092</v>
      </c>
    </row>
    <row r="27" spans="1:16" s="9" customFormat="1" ht="15.95" customHeight="1">
      <c r="A27" s="657" t="s">
        <v>491</v>
      </c>
      <c r="B27" s="658"/>
      <c r="C27" s="58" t="str">
        <f t="shared" si="3"/>
        <v>Contratado</v>
      </c>
      <c r="D27" s="670"/>
      <c r="E27" s="73" t="str">
        <f t="shared" si="4"/>
        <v>F4A</v>
      </c>
      <c r="F27" s="360">
        <v>1598.85</v>
      </c>
      <c r="G27" s="74">
        <f t="shared" si="0"/>
        <v>2750</v>
      </c>
      <c r="H27" s="105"/>
      <c r="I27" s="74">
        <f t="shared" si="1"/>
        <v>2750</v>
      </c>
      <c r="J27" s="139">
        <v>1</v>
      </c>
      <c r="K27" s="134"/>
      <c r="L27" s="134"/>
      <c r="M27" s="134"/>
      <c r="N27" s="135"/>
      <c r="O27" s="263">
        <f t="shared" si="2"/>
        <v>1473</v>
      </c>
      <c r="P27" s="164">
        <f t="shared" si="5"/>
        <v>1745</v>
      </c>
    </row>
    <row r="28" spans="1:16" ht="15.95" customHeight="1">
      <c r="A28" s="657" t="s">
        <v>492</v>
      </c>
      <c r="B28" s="658"/>
      <c r="C28" s="58" t="str">
        <f t="shared" si="3"/>
        <v>Contratado</v>
      </c>
      <c r="D28" s="670"/>
      <c r="E28" s="73" t="str">
        <f t="shared" si="4"/>
        <v>F5</v>
      </c>
      <c r="F28" s="360">
        <v>1356.85</v>
      </c>
      <c r="G28" s="74">
        <f t="shared" si="0"/>
        <v>2370</v>
      </c>
      <c r="H28" s="105"/>
      <c r="I28" s="74">
        <f t="shared" si="1"/>
        <v>2370</v>
      </c>
      <c r="J28" s="139">
        <v>1</v>
      </c>
      <c r="K28" s="134"/>
      <c r="L28" s="134"/>
      <c r="M28" s="134"/>
      <c r="N28" s="135"/>
      <c r="O28" s="263"/>
      <c r="P28" s="164">
        <f t="shared" si="5"/>
        <v>1473</v>
      </c>
    </row>
    <row r="29" spans="1:16" ht="15.95" customHeight="1">
      <c r="A29" s="657" t="s">
        <v>493</v>
      </c>
      <c r="B29" s="658"/>
      <c r="C29" s="58" t="str">
        <f t="shared" si="3"/>
        <v>Contratado</v>
      </c>
      <c r="D29" s="670"/>
      <c r="E29" s="73" t="str">
        <f>IF($F29=0,"",LEFT($A29,FIND("_",$A29)-1))</f>
        <v/>
      </c>
      <c r="F29" s="402"/>
      <c r="G29" s="74">
        <f t="shared" si="0"/>
        <v>0</v>
      </c>
      <c r="H29" s="105"/>
      <c r="I29" s="74">
        <f t="shared" ref="I29:I32" si="6">SUM(G29:H29)</f>
        <v>0</v>
      </c>
      <c r="J29" s="139">
        <v>1</v>
      </c>
      <c r="K29" s="134"/>
      <c r="L29" s="134"/>
      <c r="M29" s="134"/>
      <c r="N29" s="135"/>
      <c r="O29" s="134"/>
      <c r="P29" s="134"/>
    </row>
    <row r="30" spans="1:16" ht="15.95" customHeight="1">
      <c r="A30" s="657" t="s">
        <v>494</v>
      </c>
      <c r="B30" s="658"/>
      <c r="C30" s="58" t="str">
        <f t="shared" si="3"/>
        <v>Contratado</v>
      </c>
      <c r="D30" s="670"/>
      <c r="E30" s="73" t="str">
        <f>IF($F30=0,"",LEFT($A30,FIND("_",$A30)-1))</f>
        <v/>
      </c>
      <c r="F30" s="402"/>
      <c r="G30" s="74">
        <f t="shared" si="0"/>
        <v>0</v>
      </c>
      <c r="H30" s="105"/>
      <c r="I30" s="74">
        <f t="shared" si="6"/>
        <v>0</v>
      </c>
      <c r="J30" s="139">
        <v>1</v>
      </c>
      <c r="K30" s="134"/>
      <c r="L30" s="134"/>
      <c r="M30" s="134"/>
      <c r="N30" s="135"/>
      <c r="O30" s="134"/>
      <c r="P30" s="134"/>
    </row>
    <row r="31" spans="1:16" ht="15.95" customHeight="1">
      <c r="A31" s="657" t="s">
        <v>495</v>
      </c>
      <c r="B31" s="658"/>
      <c r="C31" s="58" t="str">
        <f t="shared" si="3"/>
        <v>Contratado</v>
      </c>
      <c r="D31" s="670"/>
      <c r="E31" s="73" t="str">
        <f>IF($F31=0,"",LEFT($A31,FIND("_",$A31)-1))</f>
        <v/>
      </c>
      <c r="F31" s="402"/>
      <c r="G31" s="74">
        <f t="shared" si="0"/>
        <v>0</v>
      </c>
      <c r="H31" s="105"/>
      <c r="I31" s="74">
        <f t="shared" ref="I31" si="7">SUM(G31:H31)</f>
        <v>0</v>
      </c>
      <c r="J31" s="139">
        <v>1</v>
      </c>
      <c r="K31" s="134"/>
      <c r="L31" s="134"/>
      <c r="M31" s="134"/>
      <c r="N31" s="135"/>
      <c r="O31" s="134"/>
      <c r="P31" s="134"/>
    </row>
    <row r="32" spans="1:16" ht="15.95" customHeight="1">
      <c r="A32" s="657" t="s">
        <v>496</v>
      </c>
      <c r="B32" s="658"/>
      <c r="C32" s="58" t="str">
        <f t="shared" si="3"/>
        <v>Contratado</v>
      </c>
      <c r="D32" s="670"/>
      <c r="E32" s="73" t="str">
        <f>IF($F32=0,"",LEFT($A32,FIND("_",$A32)-1))</f>
        <v/>
      </c>
      <c r="F32" s="402"/>
      <c r="G32" s="74">
        <f t="shared" si="0"/>
        <v>0</v>
      </c>
      <c r="H32" s="105"/>
      <c r="I32" s="74">
        <f t="shared" si="6"/>
        <v>0</v>
      </c>
      <c r="J32" s="139">
        <v>1</v>
      </c>
      <c r="K32" s="134"/>
      <c r="L32" s="134"/>
      <c r="M32" s="134"/>
      <c r="N32" s="135"/>
      <c r="O32" s="134"/>
      <c r="P32" s="134"/>
    </row>
    <row r="33" spans="1:16" ht="15.95" customHeight="1" thickBot="1">
      <c r="A33" s="667" t="s">
        <v>497</v>
      </c>
      <c r="B33" s="668"/>
      <c r="C33" s="162" t="str">
        <f t="shared" si="3"/>
        <v>Contratado</v>
      </c>
      <c r="D33" s="671"/>
      <c r="E33" s="120" t="str">
        <f>IF($F33=0,"",LEFT($A33,FIND("_",$A33)-1))</f>
        <v/>
      </c>
      <c r="F33" s="403"/>
      <c r="G33" s="121">
        <f t="shared" si="0"/>
        <v>0</v>
      </c>
      <c r="H33" s="122"/>
      <c r="I33" s="121">
        <f t="shared" si="1"/>
        <v>0</v>
      </c>
      <c r="J33" s="140">
        <v>1</v>
      </c>
      <c r="K33" s="136"/>
      <c r="L33" s="136"/>
      <c r="M33" s="136"/>
      <c r="N33" s="137"/>
      <c r="O33" s="136"/>
      <c r="P33" s="136"/>
    </row>
    <row r="34" spans="1:16" ht="15.95" customHeight="1">
      <c r="A34" s="659" t="s">
        <v>498</v>
      </c>
      <c r="B34" s="660"/>
      <c r="C34" s="161" t="str">
        <f t="shared" si="3"/>
        <v>Docente</v>
      </c>
      <c r="D34" s="669" t="s">
        <v>499</v>
      </c>
      <c r="E34" s="117" t="str">
        <f t="shared" si="4"/>
        <v>F0</v>
      </c>
      <c r="F34" s="123"/>
      <c r="G34" s="118">
        <f>ROUND(Seg_Saude_Ano/11/10,0)*10</f>
        <v>40</v>
      </c>
      <c r="H34" s="118">
        <f>ROUND(D_Indice100*N34/100*0.9*12/11*1.25/10,0)*10</f>
        <v>8340</v>
      </c>
      <c r="I34" s="118">
        <f t="shared" si="1"/>
        <v>8380</v>
      </c>
      <c r="J34" s="138">
        <v>0.5</v>
      </c>
      <c r="K34" s="132"/>
      <c r="L34" s="132"/>
      <c r="M34" s="132"/>
      <c r="N34" s="144">
        <f>N35*1.2</f>
        <v>372</v>
      </c>
      <c r="O34" s="256"/>
      <c r="P34" s="253"/>
    </row>
    <row r="35" spans="1:16" ht="15.95" customHeight="1">
      <c r="A35" s="657" t="s">
        <v>500</v>
      </c>
      <c r="B35" s="658"/>
      <c r="C35" s="58" t="str">
        <f t="shared" si="3"/>
        <v>Docente</v>
      </c>
      <c r="D35" s="670"/>
      <c r="E35" s="73" t="str">
        <f t="shared" si="4"/>
        <v>F1</v>
      </c>
      <c r="F35" s="75"/>
      <c r="G35" s="74">
        <f>ROUND(Seg_Saude_Ano/11/10,0)*10</f>
        <v>40</v>
      </c>
      <c r="H35" s="74">
        <f>ROUND(D_Indice100*N35/100*0.9*12/11*1.25/10,0)*10</f>
        <v>6950</v>
      </c>
      <c r="I35" s="74">
        <f t="shared" si="1"/>
        <v>6990</v>
      </c>
      <c r="J35" s="139">
        <v>0.5</v>
      </c>
      <c r="K35" s="134"/>
      <c r="L35" s="134"/>
      <c r="M35" s="134"/>
      <c r="N35" s="145">
        <v>310</v>
      </c>
      <c r="O35" s="257"/>
      <c r="P35" s="254"/>
    </row>
    <row r="36" spans="1:16" ht="15.95" customHeight="1">
      <c r="A36" s="657" t="s">
        <v>501</v>
      </c>
      <c r="B36" s="658"/>
      <c r="C36" s="58" t="str">
        <f t="shared" si="3"/>
        <v>Docente</v>
      </c>
      <c r="D36" s="670"/>
      <c r="E36" s="73" t="str">
        <f t="shared" si="4"/>
        <v>F2</v>
      </c>
      <c r="F36" s="75"/>
      <c r="G36" s="74">
        <f>ROUND(Seg_Saude_Ano/11/10,0)*10</f>
        <v>40</v>
      </c>
      <c r="H36" s="74">
        <f>ROUND(D_Indice100*N36/100*0.9*12/11*1.25/10,0)*10</f>
        <v>5610</v>
      </c>
      <c r="I36" s="74">
        <f t="shared" si="1"/>
        <v>5650</v>
      </c>
      <c r="J36" s="139">
        <v>0.5</v>
      </c>
      <c r="K36" s="134"/>
      <c r="L36" s="134"/>
      <c r="M36" s="134"/>
      <c r="N36" s="145">
        <v>250</v>
      </c>
      <c r="O36" s="257"/>
      <c r="P36" s="254"/>
    </row>
    <row r="37" spans="1:16" ht="15.95" customHeight="1">
      <c r="A37" s="657" t="s">
        <v>502</v>
      </c>
      <c r="B37" s="658"/>
      <c r="C37" s="58" t="str">
        <f t="shared" si="3"/>
        <v>Docente</v>
      </c>
      <c r="D37" s="670"/>
      <c r="E37" s="73" t="str">
        <f t="shared" si="4"/>
        <v>F3</v>
      </c>
      <c r="F37" s="75"/>
      <c r="G37" s="74">
        <f>ROUND(Seg_Saude_Ano/11/10,0)*10</f>
        <v>40</v>
      </c>
      <c r="H37" s="74">
        <f>ROUND(D_Indice100*N37/100*0.9*12/11*1.25/10,0)*10</f>
        <v>4370</v>
      </c>
      <c r="I37" s="74">
        <f t="shared" si="1"/>
        <v>4410</v>
      </c>
      <c r="J37" s="139">
        <v>0.5</v>
      </c>
      <c r="K37" s="134"/>
      <c r="L37" s="134"/>
      <c r="M37" s="134"/>
      <c r="N37" s="145">
        <v>195</v>
      </c>
      <c r="O37" s="257"/>
      <c r="P37" s="254"/>
    </row>
    <row r="38" spans="1:16" ht="15.95" customHeight="1" thickBot="1">
      <c r="A38" s="667" t="s">
        <v>503</v>
      </c>
      <c r="B38" s="668"/>
      <c r="C38" s="162" t="str">
        <f t="shared" si="3"/>
        <v>Docente</v>
      </c>
      <c r="D38" s="671"/>
      <c r="E38" s="120" t="str">
        <f t="shared" si="4"/>
        <v>F4</v>
      </c>
      <c r="F38" s="124"/>
      <c r="G38" s="121">
        <f>ROUND(Seg_Saude_Ano/11/10,0)*10</f>
        <v>40</v>
      </c>
      <c r="H38" s="121">
        <f>ROUND(D_Indice100*N38/100*0.9*12/11*1.25/10,0)*10</f>
        <v>3140</v>
      </c>
      <c r="I38" s="121">
        <f t="shared" si="1"/>
        <v>3180</v>
      </c>
      <c r="J38" s="140">
        <v>0.5</v>
      </c>
      <c r="K38" s="136"/>
      <c r="L38" s="136"/>
      <c r="M38" s="136"/>
      <c r="N38" s="146">
        <v>140</v>
      </c>
      <c r="O38" s="258"/>
      <c r="P38" s="255"/>
    </row>
    <row r="39" spans="1:16" ht="15.95" customHeight="1">
      <c r="A39" s="659" t="s">
        <v>504</v>
      </c>
      <c r="B39" s="660"/>
      <c r="C39" s="161" t="str">
        <f t="shared" si="3"/>
        <v>BIPD</v>
      </c>
      <c r="D39" s="693" t="s">
        <v>505</v>
      </c>
      <c r="E39" s="125" t="str">
        <f t="shared" si="4"/>
        <v>F3</v>
      </c>
      <c r="F39" s="361">
        <v>1851</v>
      </c>
      <c r="G39" s="118">
        <f>ROUND(($F39*12  +  $K39  +  B_Seg_Social_Mes*12  +  Seg_Saude_Ano  +  B_Seg_Acid_Pess_Ano)/11/$J39/10,0)*10</f>
        <v>4470</v>
      </c>
      <c r="H39" s="118">
        <f t="shared" ref="H39:H43" si="8">F39*L39*M39/J39</f>
        <v>1480.8000000000002</v>
      </c>
      <c r="I39" s="118">
        <f>SUM(G39:H39)</f>
        <v>5950.8</v>
      </c>
      <c r="J39" s="138">
        <v>0.5</v>
      </c>
      <c r="K39" s="132"/>
      <c r="L39" s="141">
        <v>0.5</v>
      </c>
      <c r="M39" s="141">
        <v>0.8</v>
      </c>
      <c r="N39" s="259"/>
      <c r="O39" s="256"/>
      <c r="P39" s="253"/>
    </row>
    <row r="40" spans="1:16" ht="15.95" customHeight="1">
      <c r="A40" s="657" t="s">
        <v>506</v>
      </c>
      <c r="B40" s="658"/>
      <c r="C40" s="58" t="str">
        <f t="shared" si="3"/>
        <v>BI-M-ED</v>
      </c>
      <c r="D40" s="694"/>
      <c r="E40" s="126" t="str">
        <f t="shared" si="4"/>
        <v>F4</v>
      </c>
      <c r="F40" s="362">
        <v>1309.6400000000001</v>
      </c>
      <c r="G40" s="74">
        <f>ROUND(($F40*12  +  $K40  +  B_Seg_Social_Mes*12  +  Seg_Saude_Ano  +  B_Seg_Acid_Pess_Ano)/11/$J40/10,0)*10</f>
        <v>3830</v>
      </c>
      <c r="H40" s="74">
        <f t="shared" si="8"/>
        <v>523.85600000000011</v>
      </c>
      <c r="I40" s="74">
        <f t="shared" ref="I40:I43" si="9">SUM(G40:H40)</f>
        <v>4353.8559999999998</v>
      </c>
      <c r="J40" s="139">
        <v>0.5</v>
      </c>
      <c r="K40" s="362">
        <v>3000</v>
      </c>
      <c r="L40" s="142">
        <v>0.25</v>
      </c>
      <c r="M40" s="142">
        <v>0.8</v>
      </c>
      <c r="N40" s="260"/>
      <c r="O40" s="257"/>
      <c r="P40" s="254"/>
    </row>
    <row r="41" spans="1:16" ht="15.95" customHeight="1">
      <c r="A41" s="657" t="s">
        <v>507</v>
      </c>
      <c r="B41" s="658"/>
      <c r="C41" s="58" t="str">
        <f t="shared" si="3"/>
        <v>BI-M-CEA</v>
      </c>
      <c r="D41" s="694"/>
      <c r="E41" s="126" t="str">
        <f t="shared" si="4"/>
        <v>F4</v>
      </c>
      <c r="F41" s="362">
        <v>1309.6400000000001</v>
      </c>
      <c r="G41" s="74">
        <f>ROUND(($F41*12  +  $K41  +  B_Seg_Social_Mes*12  +  Seg_Saude_Ano  +  B_Seg_Acid_Pess_Ano)/11/$J41/10,0)*10</f>
        <v>3380</v>
      </c>
      <c r="H41" s="74">
        <f t="shared" si="8"/>
        <v>1047.7120000000002</v>
      </c>
      <c r="I41" s="74">
        <f t="shared" si="9"/>
        <v>4427.7120000000004</v>
      </c>
      <c r="J41" s="139">
        <v>0.5</v>
      </c>
      <c r="K41" s="362">
        <v>500</v>
      </c>
      <c r="L41" s="142">
        <v>0.5</v>
      </c>
      <c r="M41" s="142">
        <v>0.8</v>
      </c>
      <c r="N41" s="260"/>
      <c r="O41" s="257"/>
      <c r="P41" s="254"/>
    </row>
    <row r="42" spans="1:16" ht="15.95" customHeight="1">
      <c r="A42" s="657" t="s">
        <v>508</v>
      </c>
      <c r="B42" s="658"/>
      <c r="C42" s="58" t="str">
        <f>RIGHT($A42,LEN($A42)-FIND("_",$A42))</f>
        <v>BI-L-EM</v>
      </c>
      <c r="D42" s="694"/>
      <c r="E42" s="126" t="str">
        <f>LEFT($A42,FIND("_",$A42)-1)</f>
        <v>F4A</v>
      </c>
      <c r="F42" s="362">
        <v>1040.98</v>
      </c>
      <c r="G42" s="74">
        <f>ROUND(($F42*12  +  $K42  +  B_Seg_Social_Mes*12  +  Seg_Saude_Ano  +  B_Seg_Acid_Pess_Ano)/11/$J42/10,0)*10</f>
        <v>2860</v>
      </c>
      <c r="H42" s="74">
        <f>F42*L42*M42/J42</f>
        <v>666.22720000000015</v>
      </c>
      <c r="I42" s="74">
        <f>SUM(G42:H42)</f>
        <v>3526.2272000000003</v>
      </c>
      <c r="J42" s="139">
        <v>0.5</v>
      </c>
      <c r="K42" s="362">
        <v>900</v>
      </c>
      <c r="L42" s="142">
        <v>0.4</v>
      </c>
      <c r="M42" s="142">
        <v>0.8</v>
      </c>
      <c r="N42" s="260"/>
      <c r="O42" s="257"/>
      <c r="P42" s="254"/>
    </row>
    <row r="43" spans="1:16" ht="15.95" customHeight="1" thickBot="1">
      <c r="A43" s="667" t="s">
        <v>509</v>
      </c>
      <c r="B43" s="668"/>
      <c r="C43" s="162" t="str">
        <f t="shared" si="3"/>
        <v>BII-E</v>
      </c>
      <c r="D43" s="695"/>
      <c r="E43" s="127" t="str">
        <f t="shared" si="4"/>
        <v>F5</v>
      </c>
      <c r="F43" s="363">
        <v>651.12</v>
      </c>
      <c r="G43" s="121">
        <f>ROUND(($F43*12  +  $K43  +  B_Seg_Social_Mes*12  +  Seg_Saude_Ano  +  B_Seg_Acid_Pess_Ano)/11/$J43/10,0)*10</f>
        <v>2010</v>
      </c>
      <c r="H43" s="121">
        <f t="shared" si="8"/>
        <v>416.71680000000009</v>
      </c>
      <c r="I43" s="121">
        <f t="shared" si="9"/>
        <v>2426.7168000000001</v>
      </c>
      <c r="J43" s="140">
        <v>0.5</v>
      </c>
      <c r="K43" s="363">
        <v>900</v>
      </c>
      <c r="L43" s="143">
        <v>0.4</v>
      </c>
      <c r="M43" s="143">
        <v>0.8</v>
      </c>
      <c r="N43" s="261"/>
      <c r="O43" s="258"/>
      <c r="P43" s="255"/>
    </row>
    <row r="44" spans="1:16" ht="24" customHeight="1"/>
    <row r="45" spans="1:16" s="2" customFormat="1" ht="30" customHeight="1">
      <c r="A45" s="1" t="s">
        <v>510</v>
      </c>
      <c r="B45" s="67"/>
      <c r="C45" s="67"/>
      <c r="D45" s="67"/>
      <c r="E45" s="67"/>
      <c r="F45" s="68"/>
      <c r="G45" s="68"/>
      <c r="H45" s="68"/>
      <c r="I45"/>
      <c r="J45"/>
      <c r="K45"/>
      <c r="L45"/>
      <c r="M45"/>
      <c r="N45"/>
      <c r="O45"/>
      <c r="P45"/>
    </row>
    <row r="46" spans="1:16" s="8" customFormat="1" ht="6" customHeight="1" thickBot="1">
      <c r="A46" s="7"/>
      <c r="B46" s="7"/>
      <c r="C46" s="7"/>
      <c r="D46" s="7"/>
      <c r="E46" s="7"/>
      <c r="F46" s="7"/>
      <c r="G46" s="7"/>
      <c r="H46" s="7"/>
      <c r="I46"/>
      <c r="J46"/>
      <c r="K46"/>
      <c r="L46"/>
      <c r="M46"/>
      <c r="N46"/>
      <c r="O46"/>
      <c r="P46"/>
    </row>
    <row r="47" spans="1:16" s="56" customFormat="1" ht="48" customHeight="1" thickBot="1">
      <c r="A47" s="717" t="s">
        <v>462</v>
      </c>
      <c r="B47" s="718"/>
      <c r="C47" s="718"/>
      <c r="D47" s="692"/>
      <c r="E47" s="114" t="s">
        <v>463</v>
      </c>
      <c r="F47" s="115" t="s">
        <v>511</v>
      </c>
      <c r="G47" s="115" t="s">
        <v>512</v>
      </c>
      <c r="H47" s="116" t="s">
        <v>513</v>
      </c>
      <c r="I47"/>
      <c r="J47"/>
      <c r="K47"/>
      <c r="L47"/>
      <c r="M47"/>
      <c r="N47"/>
      <c r="O47"/>
      <c r="P47"/>
    </row>
    <row r="48" spans="1:16" s="3" customFormat="1" ht="6.75" customHeight="1" thickBot="1">
      <c r="A48" s="69"/>
      <c r="B48" s="70"/>
      <c r="C48" s="70"/>
      <c r="D48" s="70"/>
      <c r="E48" s="106"/>
      <c r="F48" s="106"/>
      <c r="G48" s="106"/>
      <c r="I48"/>
      <c r="J48"/>
      <c r="K48"/>
      <c r="L48"/>
      <c r="M48"/>
      <c r="N48"/>
      <c r="O48"/>
      <c r="P48"/>
    </row>
    <row r="49" spans="1:16" s="56" customFormat="1" ht="15.95" customHeight="1">
      <c r="A49" s="719" t="s">
        <v>514</v>
      </c>
      <c r="B49" s="720"/>
      <c r="C49" s="720"/>
      <c r="D49" s="721"/>
      <c r="E49" s="112" t="s">
        <v>176</v>
      </c>
      <c r="F49" s="364">
        <f t="shared" ref="F49:F52" si="10">ROUND(F50*1.22/100,0)*100</f>
        <v>14300</v>
      </c>
      <c r="G49" s="473">
        <f t="shared" ref="G49:G53" si="11">ROUND($F49*1.1/100,0)*100</f>
        <v>15700</v>
      </c>
      <c r="H49" s="365">
        <v>20000</v>
      </c>
      <c r="I49"/>
      <c r="J49" s="3"/>
      <c r="K49"/>
      <c r="L49"/>
      <c r="M49"/>
      <c r="N49"/>
      <c r="O49"/>
      <c r="P49"/>
    </row>
    <row r="50" spans="1:16" s="56" customFormat="1" ht="15.95" customHeight="1">
      <c r="A50" s="661" t="s">
        <v>515</v>
      </c>
      <c r="B50" s="662"/>
      <c r="C50" s="662"/>
      <c r="D50" s="663"/>
      <c r="E50" s="64" t="s">
        <v>178</v>
      </c>
      <c r="F50" s="366">
        <f t="shared" si="10"/>
        <v>11700</v>
      </c>
      <c r="G50" s="474">
        <f t="shared" si="11"/>
        <v>12900</v>
      </c>
      <c r="H50" s="367">
        <f t="shared" ref="H50:H53" si="12">ROUND($F50*1.2/100,0)*100</f>
        <v>14000</v>
      </c>
      <c r="I50"/>
      <c r="J50" s="3"/>
      <c r="K50"/>
      <c r="L50"/>
      <c r="M50"/>
      <c r="N50"/>
      <c r="O50"/>
      <c r="P50"/>
    </row>
    <row r="51" spans="1:16" s="56" customFormat="1" ht="15.95" customHeight="1">
      <c r="A51" s="661" t="s">
        <v>516</v>
      </c>
      <c r="B51" s="662"/>
      <c r="C51" s="662"/>
      <c r="D51" s="663"/>
      <c r="E51" s="64" t="s">
        <v>180</v>
      </c>
      <c r="F51" s="366">
        <f t="shared" si="10"/>
        <v>9600</v>
      </c>
      <c r="G51" s="474">
        <f t="shared" si="11"/>
        <v>10600</v>
      </c>
      <c r="H51" s="367">
        <f t="shared" si="12"/>
        <v>11500</v>
      </c>
      <c r="I51"/>
      <c r="J51" s="3"/>
      <c r="K51"/>
      <c r="L51"/>
      <c r="M51"/>
      <c r="N51"/>
      <c r="O51"/>
      <c r="P51"/>
    </row>
    <row r="52" spans="1:16" s="56" customFormat="1" ht="15.95" customHeight="1">
      <c r="A52" s="661" t="s">
        <v>517</v>
      </c>
      <c r="B52" s="662"/>
      <c r="C52" s="662"/>
      <c r="D52" s="663"/>
      <c r="E52" s="64" t="s">
        <v>182</v>
      </c>
      <c r="F52" s="366">
        <f t="shared" si="10"/>
        <v>7900</v>
      </c>
      <c r="G52" s="474">
        <f t="shared" si="11"/>
        <v>8700</v>
      </c>
      <c r="H52" s="367">
        <f t="shared" si="12"/>
        <v>9500</v>
      </c>
      <c r="I52"/>
      <c r="J52" s="3"/>
      <c r="K52"/>
      <c r="L52"/>
      <c r="M52"/>
      <c r="N52"/>
      <c r="O52"/>
      <c r="P52"/>
    </row>
    <row r="53" spans="1:16" s="56" customFormat="1" ht="15.95" customHeight="1">
      <c r="A53" s="661" t="s">
        <v>183</v>
      </c>
      <c r="B53" s="662"/>
      <c r="C53" s="662"/>
      <c r="D53" s="663"/>
      <c r="E53" s="64" t="s">
        <v>184</v>
      </c>
      <c r="F53" s="366">
        <f>ROUND(F54*1.22/100,0)*100</f>
        <v>6500</v>
      </c>
      <c r="G53" s="474">
        <f t="shared" si="11"/>
        <v>7200</v>
      </c>
      <c r="H53" s="367">
        <f t="shared" si="12"/>
        <v>7800</v>
      </c>
      <c r="I53"/>
      <c r="J53" s="3"/>
      <c r="K53"/>
      <c r="L53"/>
      <c r="M53"/>
      <c r="N53"/>
      <c r="O53"/>
      <c r="P53"/>
    </row>
    <row r="54" spans="1:16" s="56" customFormat="1" ht="15.95" customHeight="1" thickBot="1">
      <c r="A54" s="664" t="s">
        <v>185</v>
      </c>
      <c r="B54" s="665"/>
      <c r="C54" s="665"/>
      <c r="D54" s="666"/>
      <c r="E54" s="113" t="s">
        <v>186</v>
      </c>
      <c r="F54" s="368">
        <v>5300</v>
      </c>
      <c r="G54" s="475">
        <f>ROUND($F54*1.1/100,0)*100</f>
        <v>5800</v>
      </c>
      <c r="H54" s="369">
        <f>ROUND($F54*1.2/100,0)*100</f>
        <v>6400</v>
      </c>
      <c r="I54"/>
      <c r="J54" s="3"/>
      <c r="K54"/>
      <c r="L54"/>
      <c r="M54"/>
      <c r="N54"/>
      <c r="O54"/>
      <c r="P54"/>
    </row>
    <row r="55" spans="1:16" ht="24" customHeight="1"/>
    <row r="56" spans="1:16" s="2" customFormat="1" ht="30" customHeight="1">
      <c r="A56" s="1" t="s">
        <v>518</v>
      </c>
      <c r="B56" s="93"/>
      <c r="C56" s="67"/>
      <c r="D56" s="67"/>
      <c r="E56" s="358"/>
      <c r="F56" s="358"/>
      <c r="H56" s="684" t="s">
        <v>519</v>
      </c>
      <c r="I56" s="685"/>
      <c r="J56" s="685"/>
      <c r="K56" s="57"/>
      <c r="L56" s="462" t="s">
        <v>520</v>
      </c>
    </row>
    <row r="57" spans="1:16" s="8" customFormat="1" ht="6" customHeight="1" thickBot="1">
      <c r="A57" s="7"/>
      <c r="B57" s="7"/>
      <c r="C57" s="7"/>
      <c r="D57" s="7"/>
      <c r="E57" s="7"/>
      <c r="F57" s="7"/>
      <c r="H57" s="7"/>
      <c r="I57" s="7"/>
    </row>
    <row r="58" spans="1:16" ht="18.75" customHeight="1">
      <c r="A58" s="722" t="s">
        <v>521</v>
      </c>
      <c r="B58" s="723"/>
      <c r="C58" s="715" t="s">
        <v>522</v>
      </c>
      <c r="D58" s="716"/>
      <c r="E58" s="708" t="s">
        <v>523</v>
      </c>
      <c r="F58" s="709"/>
      <c r="G58" s="56"/>
      <c r="H58" s="678" t="s">
        <v>524</v>
      </c>
      <c r="I58" s="680" t="s">
        <v>525</v>
      </c>
      <c r="J58" s="680" t="s">
        <v>526</v>
      </c>
      <c r="L58" s="689" t="s">
        <v>524</v>
      </c>
    </row>
    <row r="59" spans="1:16" ht="30" customHeight="1" thickBot="1">
      <c r="A59" s="724"/>
      <c r="B59" s="725"/>
      <c r="C59" s="110" t="s">
        <v>527</v>
      </c>
      <c r="D59" s="111" t="s">
        <v>528</v>
      </c>
      <c r="E59" s="710"/>
      <c r="F59" s="711"/>
      <c r="G59" s="56"/>
      <c r="H59" s="679"/>
      <c r="I59" s="681"/>
      <c r="J59" s="681"/>
      <c r="L59" s="690"/>
    </row>
    <row r="60" spans="1:16" s="3" customFormat="1" ht="6.75" customHeight="1" thickBot="1">
      <c r="A60" s="69"/>
      <c r="B60" s="69"/>
      <c r="C60" s="70"/>
      <c r="D60" s="70"/>
      <c r="E60" s="70"/>
      <c r="F60" s="70"/>
      <c r="G60" s="106"/>
      <c r="H60" s="69"/>
      <c r="I60" s="70"/>
      <c r="J60" s="70"/>
    </row>
    <row r="61" spans="1:16" ht="15.95" customHeight="1">
      <c r="A61" s="107" t="s">
        <v>529</v>
      </c>
      <c r="B61" s="223" t="s">
        <v>530</v>
      </c>
      <c r="C61" s="370">
        <v>0.22</v>
      </c>
      <c r="D61" s="528">
        <v>210</v>
      </c>
      <c r="E61" s="107" t="s">
        <v>531</v>
      </c>
      <c r="F61" s="225" t="s">
        <v>532</v>
      </c>
      <c r="G61"/>
      <c r="H61" s="184" t="s">
        <v>533</v>
      </c>
      <c r="I61" s="266">
        <v>15</v>
      </c>
      <c r="J61" s="269">
        <v>5.5750000000000002</v>
      </c>
      <c r="L61" s="293" t="s">
        <v>485</v>
      </c>
    </row>
    <row r="62" spans="1:16" ht="15.95" customHeight="1">
      <c r="A62" s="108" t="s">
        <v>534</v>
      </c>
      <c r="B62" s="224" t="s">
        <v>535</v>
      </c>
      <c r="C62" s="371">
        <v>0.15</v>
      </c>
      <c r="D62" s="372">
        <v>330</v>
      </c>
      <c r="E62" s="108" t="s">
        <v>536</v>
      </c>
      <c r="F62" s="226" t="s">
        <v>537</v>
      </c>
      <c r="G62"/>
      <c r="H62" s="185" t="s">
        <v>538</v>
      </c>
      <c r="I62" s="267">
        <v>25</v>
      </c>
      <c r="J62" s="270">
        <v>5.5750000000000002</v>
      </c>
      <c r="L62" s="294" t="s">
        <v>539</v>
      </c>
    </row>
    <row r="63" spans="1:16" ht="15.95" customHeight="1">
      <c r="A63" s="108" t="s">
        <v>540</v>
      </c>
      <c r="B63" s="224" t="s">
        <v>541</v>
      </c>
      <c r="C63" s="371">
        <v>0.15</v>
      </c>
      <c r="D63" s="372">
        <v>190</v>
      </c>
      <c r="E63" s="108" t="s">
        <v>542</v>
      </c>
      <c r="F63" s="226" t="s">
        <v>537</v>
      </c>
      <c r="G63"/>
      <c r="H63" s="185" t="s">
        <v>543</v>
      </c>
      <c r="I63" s="267">
        <v>15</v>
      </c>
      <c r="J63" s="270">
        <v>5.5750000000000002</v>
      </c>
      <c r="L63" s="294" t="str">
        <f t="shared" ref="L63:L85" si="13">IF(INDEX(IES_Lista,ROW()-ROW($L$60)-1)=0,"",INDEX(IES_Lista,ROW()-ROW($L$60)-1))</f>
        <v>UP-FEUP</v>
      </c>
    </row>
    <row r="64" spans="1:16" ht="15.95" customHeight="1">
      <c r="A64" s="108" t="s">
        <v>544</v>
      </c>
      <c r="B64" s="224" t="s">
        <v>545</v>
      </c>
      <c r="C64" s="371">
        <v>0.22</v>
      </c>
      <c r="D64" s="372">
        <v>330</v>
      </c>
      <c r="E64" s="108" t="s">
        <v>546</v>
      </c>
      <c r="F64" s="226" t="s">
        <v>537</v>
      </c>
      <c r="G64"/>
      <c r="H64" s="185" t="s">
        <v>547</v>
      </c>
      <c r="I64" s="267">
        <v>15</v>
      </c>
      <c r="J64" s="270">
        <v>5.5750000000000002</v>
      </c>
      <c r="L64" s="294" t="str">
        <f t="shared" si="13"/>
        <v>UP-FCUP</v>
      </c>
    </row>
    <row r="65" spans="1:12" ht="15.95" customHeight="1">
      <c r="A65" s="108" t="s">
        <v>548</v>
      </c>
      <c r="B65" s="224" t="s">
        <v>549</v>
      </c>
      <c r="C65" s="371">
        <v>0.18</v>
      </c>
      <c r="D65" s="372">
        <v>280</v>
      </c>
      <c r="E65" s="108" t="s">
        <v>550</v>
      </c>
      <c r="F65" s="226" t="s">
        <v>537</v>
      </c>
      <c r="G65"/>
      <c r="H65" s="185" t="s">
        <v>551</v>
      </c>
      <c r="I65" s="267">
        <v>15</v>
      </c>
      <c r="J65" s="270">
        <v>5.5750000000000002</v>
      </c>
      <c r="L65" s="294" t="str">
        <f t="shared" si="13"/>
        <v>UP-FEP</v>
      </c>
    </row>
    <row r="66" spans="1:12" ht="15.95" customHeight="1">
      <c r="A66" s="108" t="s">
        <v>137</v>
      </c>
      <c r="B66" s="224" t="s">
        <v>552</v>
      </c>
      <c r="C66" s="371">
        <v>0.2</v>
      </c>
      <c r="D66" s="372">
        <v>310</v>
      </c>
      <c r="E66" s="108" t="s">
        <v>553</v>
      </c>
      <c r="F66" s="226" t="s">
        <v>537</v>
      </c>
      <c r="G66"/>
      <c r="H66" s="185" t="s">
        <v>554</v>
      </c>
      <c r="I66" s="267">
        <v>25</v>
      </c>
      <c r="J66" s="270">
        <v>23.75</v>
      </c>
      <c r="L66" s="294" t="str">
        <f t="shared" si="13"/>
        <v>UP-FCNA</v>
      </c>
    </row>
    <row r="67" spans="1:12" ht="15.95" customHeight="1">
      <c r="A67" s="108" t="s">
        <v>555</v>
      </c>
      <c r="B67" s="224" t="s">
        <v>556</v>
      </c>
      <c r="C67" s="371">
        <v>0.17</v>
      </c>
      <c r="D67" s="372">
        <v>310</v>
      </c>
      <c r="E67" s="108" t="s">
        <v>557</v>
      </c>
      <c r="F67" s="226" t="s">
        <v>537</v>
      </c>
      <c r="G67"/>
      <c r="H67" s="185" t="s">
        <v>558</v>
      </c>
      <c r="I67" s="267">
        <v>25</v>
      </c>
      <c r="J67" s="270">
        <v>23.75</v>
      </c>
      <c r="L67" s="294" t="str">
        <f t="shared" si="13"/>
        <v>UP-FBAUP</v>
      </c>
    </row>
    <row r="68" spans="1:12" ht="15.95" customHeight="1">
      <c r="A68" s="108" t="s">
        <v>559</v>
      </c>
      <c r="B68" s="224" t="s">
        <v>560</v>
      </c>
      <c r="C68" s="371">
        <v>0.21</v>
      </c>
      <c r="D68" s="372">
        <v>230</v>
      </c>
      <c r="E68" s="108" t="s">
        <v>561</v>
      </c>
      <c r="F68" s="226" t="s">
        <v>562</v>
      </c>
      <c r="G68"/>
      <c r="H68" s="185" t="s">
        <v>563</v>
      </c>
      <c r="I68" s="267">
        <v>25</v>
      </c>
      <c r="J68" s="270">
        <v>23.75</v>
      </c>
      <c r="L68" s="294" t="str">
        <f t="shared" si="13"/>
        <v>IPP-ISEP</v>
      </c>
    </row>
    <row r="69" spans="1:12" ht="15.95" customHeight="1">
      <c r="A69" s="108" t="s">
        <v>564</v>
      </c>
      <c r="B69" s="224" t="s">
        <v>565</v>
      </c>
      <c r="C69" s="371">
        <v>0.2</v>
      </c>
      <c r="D69" s="372">
        <v>310</v>
      </c>
      <c r="E69" s="108" t="s">
        <v>566</v>
      </c>
      <c r="F69" s="226" t="s">
        <v>567</v>
      </c>
      <c r="G69"/>
      <c r="H69" s="185" t="s">
        <v>568</v>
      </c>
      <c r="I69" s="267">
        <v>25</v>
      </c>
      <c r="J69" s="270">
        <v>23.75</v>
      </c>
      <c r="L69" s="294" t="str">
        <f t="shared" si="13"/>
        <v>IPP-ISCAP</v>
      </c>
    </row>
    <row r="70" spans="1:12" ht="15.95" customHeight="1">
      <c r="A70" s="108" t="s">
        <v>569</v>
      </c>
      <c r="B70" s="224" t="s">
        <v>570</v>
      </c>
      <c r="C70" s="371">
        <v>0.18</v>
      </c>
      <c r="D70" s="372">
        <v>230</v>
      </c>
      <c r="E70" s="108" t="s">
        <v>571</v>
      </c>
      <c r="F70" s="226" t="s">
        <v>572</v>
      </c>
      <c r="G70"/>
      <c r="H70" s="185" t="s">
        <v>573</v>
      </c>
      <c r="I70" s="267">
        <v>25</v>
      </c>
      <c r="J70" s="270">
        <v>23.75</v>
      </c>
      <c r="L70" s="294" t="str">
        <f t="shared" si="13"/>
        <v>IPP-ESTGF</v>
      </c>
    </row>
    <row r="71" spans="1:12" ht="15.95" customHeight="1">
      <c r="A71" s="108" t="s">
        <v>574</v>
      </c>
      <c r="B71" s="224" t="s">
        <v>575</v>
      </c>
      <c r="C71" s="371">
        <v>0.2</v>
      </c>
      <c r="D71" s="372">
        <v>130</v>
      </c>
      <c r="E71" s="108" t="s">
        <v>576</v>
      </c>
      <c r="F71" s="226" t="s">
        <v>577</v>
      </c>
      <c r="G71"/>
      <c r="H71" s="185" t="s">
        <v>578</v>
      </c>
      <c r="I71" s="267">
        <v>25</v>
      </c>
      <c r="J71" s="270">
        <v>5.5750000000000002</v>
      </c>
      <c r="L71" s="294" t="str">
        <f t="shared" si="13"/>
        <v>IPP-ESMAE</v>
      </c>
    </row>
    <row r="72" spans="1:12" ht="15.95" customHeight="1">
      <c r="A72" s="108" t="s">
        <v>579</v>
      </c>
      <c r="B72" s="224" t="s">
        <v>580</v>
      </c>
      <c r="C72" s="371">
        <v>0.18</v>
      </c>
      <c r="D72" s="372">
        <v>140</v>
      </c>
      <c r="E72" s="108" t="s">
        <v>581</v>
      </c>
      <c r="F72" s="226" t="s">
        <v>582</v>
      </c>
      <c r="G72"/>
      <c r="H72" s="185" t="s">
        <v>583</v>
      </c>
      <c r="I72" s="267">
        <v>20</v>
      </c>
      <c r="J72" s="270">
        <v>5.5750000000000002</v>
      </c>
      <c r="L72" s="294" t="str">
        <f t="shared" si="13"/>
        <v>IPP-ESEIG</v>
      </c>
    </row>
    <row r="73" spans="1:12" ht="15.95" customHeight="1">
      <c r="A73" s="108" t="s">
        <v>584</v>
      </c>
      <c r="B73" s="224" t="s">
        <v>585</v>
      </c>
      <c r="C73" s="371">
        <v>0.16</v>
      </c>
      <c r="D73" s="372">
        <v>240</v>
      </c>
      <c r="E73" s="108" t="s">
        <v>30</v>
      </c>
      <c r="F73" s="226" t="s">
        <v>586</v>
      </c>
      <c r="G73"/>
      <c r="H73" s="185" t="s">
        <v>587</v>
      </c>
      <c r="I73" s="267">
        <v>25</v>
      </c>
      <c r="J73" s="270"/>
      <c r="L73" s="294" t="str">
        <f t="shared" si="13"/>
        <v>UM</v>
      </c>
    </row>
    <row r="74" spans="1:12" ht="15.95" customHeight="1">
      <c r="A74" s="108" t="s">
        <v>588</v>
      </c>
      <c r="B74" s="224" t="s">
        <v>589</v>
      </c>
      <c r="C74" s="371">
        <v>0.18</v>
      </c>
      <c r="D74" s="372">
        <v>250</v>
      </c>
      <c r="E74" s="108" t="s">
        <v>590</v>
      </c>
      <c r="F74" s="226" t="s">
        <v>591</v>
      </c>
      <c r="G74"/>
      <c r="H74" s="185" t="s">
        <v>592</v>
      </c>
      <c r="I74" s="267">
        <v>20</v>
      </c>
      <c r="J74" s="270"/>
      <c r="L74" s="294" t="str">
        <f t="shared" si="13"/>
        <v>UTAD</v>
      </c>
    </row>
    <row r="75" spans="1:12" ht="15.95" customHeight="1">
      <c r="A75" s="108"/>
      <c r="B75" s="224"/>
      <c r="C75" s="371"/>
      <c r="D75" s="372"/>
      <c r="E75" s="108" t="s">
        <v>593</v>
      </c>
      <c r="F75" s="226" t="s">
        <v>594</v>
      </c>
      <c r="G75"/>
      <c r="H75" s="185" t="s">
        <v>595</v>
      </c>
      <c r="I75" s="267">
        <v>35</v>
      </c>
      <c r="J75" s="270"/>
      <c r="L75" s="294" t="str">
        <f t="shared" si="13"/>
        <v>IPB</v>
      </c>
    </row>
    <row r="76" spans="1:12" ht="15.95" customHeight="1" thickBot="1">
      <c r="A76" s="109"/>
      <c r="B76" s="275"/>
      <c r="C76" s="373"/>
      <c r="D76" s="374"/>
      <c r="E76" s="108" t="s">
        <v>596</v>
      </c>
      <c r="F76" s="226" t="s">
        <v>597</v>
      </c>
      <c r="G76"/>
      <c r="H76" s="185" t="s">
        <v>598</v>
      </c>
      <c r="I76" s="267">
        <v>20</v>
      </c>
      <c r="J76" s="270"/>
      <c r="L76" s="294" t="str">
        <f t="shared" si="13"/>
        <v>UMa</v>
      </c>
    </row>
    <row r="77" spans="1:12" ht="15.95" customHeight="1">
      <c r="A77"/>
      <c r="B77"/>
      <c r="C77"/>
      <c r="D77"/>
      <c r="E77" s="175" t="s">
        <v>599</v>
      </c>
      <c r="F77" s="227" t="s">
        <v>600</v>
      </c>
      <c r="G77"/>
      <c r="H77" s="185" t="s">
        <v>601</v>
      </c>
      <c r="I77" s="267">
        <v>30</v>
      </c>
      <c r="J77" s="270"/>
      <c r="L77" s="294" t="str">
        <f t="shared" si="13"/>
        <v>UAb</v>
      </c>
    </row>
    <row r="78" spans="1:12" ht="15.95" customHeight="1">
      <c r="A78"/>
      <c r="B78"/>
      <c r="C78"/>
      <c r="D78"/>
      <c r="E78" s="175" t="s">
        <v>602</v>
      </c>
      <c r="F78" s="227" t="s">
        <v>603</v>
      </c>
      <c r="G78"/>
      <c r="H78" s="185" t="s">
        <v>604</v>
      </c>
      <c r="I78" s="267">
        <v>25</v>
      </c>
      <c r="J78" s="270"/>
      <c r="L78" s="294" t="str">
        <f t="shared" si="13"/>
        <v>IPV</v>
      </c>
    </row>
    <row r="79" spans="1:12" ht="15.95" customHeight="1">
      <c r="A79"/>
      <c r="B79"/>
      <c r="C79"/>
      <c r="D79"/>
      <c r="E79" s="175" t="s">
        <v>605</v>
      </c>
      <c r="F79" s="227" t="s">
        <v>606</v>
      </c>
      <c r="G79"/>
      <c r="H79" s="185" t="s">
        <v>607</v>
      </c>
      <c r="I79" s="267">
        <v>0</v>
      </c>
      <c r="J79" s="270"/>
      <c r="L79" s="294" t="str">
        <f t="shared" si="13"/>
        <v>IPVC</v>
      </c>
    </row>
    <row r="80" spans="1:12" ht="15.95" customHeight="1">
      <c r="A80"/>
      <c r="B80"/>
      <c r="C80"/>
      <c r="D80"/>
      <c r="E80" s="175" t="s">
        <v>608</v>
      </c>
      <c r="F80" s="227" t="s">
        <v>609</v>
      </c>
      <c r="G80"/>
      <c r="H80" s="185"/>
      <c r="I80" s="267"/>
      <c r="J80" s="270"/>
      <c r="L80" s="294" t="str">
        <f t="shared" si="13"/>
        <v>IPLeiria</v>
      </c>
    </row>
    <row r="81" spans="1:12" ht="15.95" customHeight="1">
      <c r="A81"/>
      <c r="B81"/>
      <c r="C81"/>
      <c r="D81"/>
      <c r="E81" s="175" t="s">
        <v>610</v>
      </c>
      <c r="F81" s="227" t="s">
        <v>611</v>
      </c>
      <c r="G81"/>
      <c r="H81" s="185"/>
      <c r="I81" s="267"/>
      <c r="J81" s="270"/>
      <c r="L81" s="294" t="str">
        <f t="shared" si="13"/>
        <v>Outra</v>
      </c>
    </row>
    <row r="82" spans="1:12" ht="15.95" customHeight="1">
      <c r="A82"/>
      <c r="B82"/>
      <c r="C82"/>
      <c r="D82"/>
      <c r="E82" s="175" t="s">
        <v>612</v>
      </c>
      <c r="F82" s="227" t="s">
        <v>613</v>
      </c>
      <c r="G82"/>
      <c r="H82" s="185"/>
      <c r="I82" s="267"/>
      <c r="J82" s="270"/>
      <c r="L82" s="294" t="str">
        <f t="shared" si="13"/>
        <v/>
      </c>
    </row>
    <row r="83" spans="1:12" ht="15.95" customHeight="1">
      <c r="A83"/>
      <c r="B83"/>
      <c r="C83"/>
      <c r="D83"/>
      <c r="E83" s="175" t="s">
        <v>614</v>
      </c>
      <c r="F83" s="227" t="s">
        <v>615</v>
      </c>
      <c r="G83"/>
      <c r="H83" s="185"/>
      <c r="I83" s="267"/>
      <c r="J83" s="270"/>
      <c r="L83" s="294" t="str">
        <f t="shared" si="13"/>
        <v/>
      </c>
    </row>
    <row r="84" spans="1:12" ht="15.95" customHeight="1">
      <c r="A84"/>
      <c r="B84"/>
      <c r="C84"/>
      <c r="D84"/>
      <c r="E84" s="175"/>
      <c r="F84" s="227"/>
      <c r="G84"/>
      <c r="H84" s="185"/>
      <c r="I84" s="267"/>
      <c r="J84" s="270"/>
      <c r="L84" s="294" t="str">
        <f t="shared" si="13"/>
        <v/>
      </c>
    </row>
    <row r="85" spans="1:12" ht="15.95" customHeight="1" thickBot="1">
      <c r="A85"/>
      <c r="B85"/>
      <c r="C85"/>
      <c r="D85"/>
      <c r="E85" s="109"/>
      <c r="F85" s="228"/>
      <c r="G85"/>
      <c r="H85" s="233"/>
      <c r="I85" s="268"/>
      <c r="J85" s="271"/>
      <c r="L85" s="295" t="str">
        <f t="shared" si="13"/>
        <v/>
      </c>
    </row>
    <row r="86" spans="1:12">
      <c r="G86"/>
    </row>
    <row r="87" spans="1:12" ht="12.95">
      <c r="A87" s="174" t="s">
        <v>616</v>
      </c>
      <c r="G87"/>
    </row>
    <row r="88" spans="1:12">
      <c r="A88" s="483" t="s">
        <v>617</v>
      </c>
      <c r="G88"/>
    </row>
    <row r="89" spans="1:12">
      <c r="A89" s="483" t="s">
        <v>618</v>
      </c>
      <c r="G89"/>
    </row>
    <row r="90" spans="1:12" ht="24" customHeight="1"/>
    <row r="91" spans="1:12" ht="12.95">
      <c r="A91" s="442"/>
      <c r="B91" s="174" t="s">
        <v>619</v>
      </c>
    </row>
  </sheetData>
  <sheetProtection algorithmName="SHA-512" hashValue="abI8Y7uR9sTq3Dw3+kX5XjkoztjKVnNB/N6sESLadkfQCXETuOziLktsdS7c/8XNtRHIHzrNs/OVmtnBvmsPoA==" saltValue="5e5dYNMPRu3AH1KpBhwsBQ==" spinCount="100000" sheet="1" objects="1" scenarios="1"/>
  <sortState xmlns:xlrd2="http://schemas.microsoft.com/office/spreadsheetml/2017/richdata2" ref="H63:H72">
    <sortCondition ref="H63"/>
  </sortState>
  <mergeCells count="67">
    <mergeCell ref="E58:F59"/>
    <mergeCell ref="D8:F8"/>
    <mergeCell ref="D12:F12"/>
    <mergeCell ref="D13:F13"/>
    <mergeCell ref="C58:D58"/>
    <mergeCell ref="A47:D47"/>
    <mergeCell ref="A49:D49"/>
    <mergeCell ref="A50:D50"/>
    <mergeCell ref="A39:B39"/>
    <mergeCell ref="A40:B40"/>
    <mergeCell ref="A42:B42"/>
    <mergeCell ref="A58:B59"/>
    <mergeCell ref="A41:B41"/>
    <mergeCell ref="A51:D51"/>
    <mergeCell ref="A9:B14"/>
    <mergeCell ref="A5:B8"/>
    <mergeCell ref="D4:E4"/>
    <mergeCell ref="D3:F3"/>
    <mergeCell ref="D14:F14"/>
    <mergeCell ref="D10:F10"/>
    <mergeCell ref="D11:F11"/>
    <mergeCell ref="D9:F9"/>
    <mergeCell ref="D5:F5"/>
    <mergeCell ref="D6:F6"/>
    <mergeCell ref="D7:F7"/>
    <mergeCell ref="A3:B3"/>
    <mergeCell ref="A43:B43"/>
    <mergeCell ref="E18:E19"/>
    <mergeCell ref="F18:F19"/>
    <mergeCell ref="A33:B33"/>
    <mergeCell ref="A34:B34"/>
    <mergeCell ref="A24:B24"/>
    <mergeCell ref="A25:B25"/>
    <mergeCell ref="A29:B29"/>
    <mergeCell ref="A32:B32"/>
    <mergeCell ref="A31:B31"/>
    <mergeCell ref="A30:B30"/>
    <mergeCell ref="A26:B26"/>
    <mergeCell ref="A27:B27"/>
    <mergeCell ref="A28:B28"/>
    <mergeCell ref="D39:D43"/>
    <mergeCell ref="O18:P18"/>
    <mergeCell ref="H58:H59"/>
    <mergeCell ref="I58:I59"/>
    <mergeCell ref="I18:I19"/>
    <mergeCell ref="J18:J19"/>
    <mergeCell ref="H56:J56"/>
    <mergeCell ref="H18:H19"/>
    <mergeCell ref="K18:M18"/>
    <mergeCell ref="L58:L59"/>
    <mergeCell ref="J58:J59"/>
    <mergeCell ref="G18:G19"/>
    <mergeCell ref="A23:B23"/>
    <mergeCell ref="A21:B21"/>
    <mergeCell ref="A53:D53"/>
    <mergeCell ref="A54:D54"/>
    <mergeCell ref="A37:B37"/>
    <mergeCell ref="A38:B38"/>
    <mergeCell ref="D34:D38"/>
    <mergeCell ref="A52:D52"/>
    <mergeCell ref="A35:B35"/>
    <mergeCell ref="A36:B36"/>
    <mergeCell ref="A22:B22"/>
    <mergeCell ref="A18:B19"/>
    <mergeCell ref="C18:C19"/>
    <mergeCell ref="D18:D19"/>
    <mergeCell ref="D21:D33"/>
  </mergeCells>
  <conditionalFormatting sqref="A15">
    <cfRule type="duplicateValues" dxfId="21" priority="36"/>
  </conditionalFormatting>
  <conditionalFormatting sqref="A2:B2">
    <cfRule type="duplicateValues" dxfId="20" priority="32"/>
  </conditionalFormatting>
  <conditionalFormatting sqref="A44:A45 A47:A48">
    <cfRule type="duplicateValues" dxfId="19" priority="30"/>
  </conditionalFormatting>
  <conditionalFormatting sqref="A46">
    <cfRule type="duplicateValues" dxfId="18" priority="29"/>
  </conditionalFormatting>
  <conditionalFormatting sqref="A18">
    <cfRule type="duplicateValues" dxfId="17" priority="25"/>
  </conditionalFormatting>
  <conditionalFormatting sqref="A5:A7">
    <cfRule type="duplicateValues" dxfId="16" priority="21"/>
  </conditionalFormatting>
  <conditionalFormatting sqref="H58">
    <cfRule type="duplicateValues" dxfId="15" priority="13"/>
  </conditionalFormatting>
  <conditionalFormatting sqref="H57">
    <cfRule type="duplicateValues" dxfId="14" priority="11"/>
  </conditionalFormatting>
  <conditionalFormatting sqref="H60">
    <cfRule type="duplicateValues" dxfId="13" priority="10"/>
  </conditionalFormatting>
  <conditionalFormatting sqref="A90">
    <cfRule type="duplicateValues" dxfId="12" priority="8"/>
  </conditionalFormatting>
  <conditionalFormatting sqref="A58">
    <cfRule type="duplicateValues" dxfId="11" priority="135"/>
  </conditionalFormatting>
  <conditionalFormatting sqref="A55:A56 B56">
    <cfRule type="duplicateValues" dxfId="10" priority="136"/>
  </conditionalFormatting>
  <conditionalFormatting sqref="A57:B57">
    <cfRule type="duplicateValues" dxfId="9" priority="138"/>
  </conditionalFormatting>
  <conditionalFormatting sqref="A60:B60">
    <cfRule type="duplicateValues" dxfId="8" priority="139"/>
  </conditionalFormatting>
  <conditionalFormatting sqref="E58">
    <cfRule type="duplicateValues" dxfId="7" priority="6"/>
  </conditionalFormatting>
  <conditionalFormatting sqref="H56">
    <cfRule type="duplicateValues" dxfId="6" priority="143"/>
  </conditionalFormatting>
  <conditionalFormatting sqref="A9 A4:B4 A3 A1:B1">
    <cfRule type="duplicateValues" dxfId="5" priority="175"/>
  </conditionalFormatting>
  <conditionalFormatting sqref="L58">
    <cfRule type="duplicateValues" dxfId="4" priority="2"/>
  </conditionalFormatting>
  <conditionalFormatting sqref="L56">
    <cfRule type="duplicateValues" dxfId="3" priority="1"/>
  </conditionalFormatting>
  <printOptions horizontalCentered="1"/>
  <pageMargins left="0.31496062992125984" right="0.31496062992125984" top="0.51181102362204722" bottom="0.43307086614173229" header="0.31496062992125984" footer="0.31496062992125984"/>
  <pageSetup paperSize="9" scale="60" orientation="landscape" horizontalDpi="1200" verticalDpi="1200" r:id="rId1"/>
  <rowBreaks count="1" manualBreakCount="1">
    <brk id="43" max="16383" man="1"/>
  </rowBreaks>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9C0E5-48FE-4CF7-ACCC-293C8E3203BB}">
  <sheetPr codeName="Sheet1">
    <tabColor theme="3"/>
  </sheetPr>
  <dimension ref="A1:AH21"/>
  <sheetViews>
    <sheetView showGridLines="0" zoomScaleNormal="100" workbookViewId="0">
      <pane ySplit="4" topLeftCell="A5" activePane="bottomLeft" state="frozen"/>
      <selection pane="bottomLeft"/>
    </sheetView>
  </sheetViews>
  <sheetFormatPr defaultColWidth="9.140625" defaultRowHeight="12.6"/>
  <cols>
    <col min="1" max="1" width="22.85546875" style="9" customWidth="1"/>
    <col min="2" max="2" width="29.5703125" style="9" customWidth="1"/>
    <col min="3" max="3" width="10.5703125" style="9" customWidth="1"/>
    <col min="4" max="4" width="74" style="9" customWidth="1"/>
    <col min="5" max="6" width="7.5703125" style="155" customWidth="1"/>
    <col min="7" max="7" width="8.5703125" style="155" customWidth="1"/>
    <col min="8" max="10" width="5" style="155" customWidth="1"/>
    <col min="11" max="11" width="7.5703125" style="155" customWidth="1"/>
    <col min="12" max="12" width="6.5703125" style="155" customWidth="1"/>
    <col min="13" max="13" width="1" style="9" customWidth="1"/>
    <col min="14" max="16" width="7.5703125" style="155" customWidth="1"/>
    <col min="17" max="18" width="8.5703125" style="155" customWidth="1"/>
    <col min="19" max="21" width="7.42578125" style="155" customWidth="1"/>
    <col min="22" max="23" width="7.5703125" style="155" customWidth="1"/>
    <col min="24" max="26" width="9.140625" style="155" customWidth="1"/>
    <col min="27" max="28" width="7.42578125" style="155" customWidth="1"/>
    <col min="29" max="31" width="8.5703125" style="155" customWidth="1"/>
    <col min="32" max="32" width="9.140625" style="155" customWidth="1"/>
    <col min="33" max="33" width="2.5703125" style="9" customWidth="1"/>
    <col min="34" max="34" width="16.42578125" style="72" customWidth="1"/>
    <col min="35" max="35" width="11.5703125" style="9" bestFit="1" customWidth="1"/>
    <col min="36" max="16384" width="9.140625" style="9"/>
  </cols>
  <sheetData>
    <row r="1" spans="1:34" s="2" customFormat="1" ht="30" customHeight="1">
      <c r="A1" s="1" t="s">
        <v>620</v>
      </c>
      <c r="B1" s="93"/>
      <c r="C1" s="93"/>
      <c r="D1" s="67"/>
      <c r="E1"/>
    </row>
    <row r="2" spans="1:34" s="8" customFormat="1" ht="6" customHeight="1" thickBot="1">
      <c r="A2" s="7"/>
      <c r="B2" s="7"/>
      <c r="C2" s="7"/>
      <c r="D2" s="7"/>
      <c r="E2" s="7"/>
      <c r="F2" s="7"/>
    </row>
    <row r="3" spans="1:34" ht="26.25" customHeight="1" thickBot="1">
      <c r="A3" s="156" t="s">
        <v>192</v>
      </c>
      <c r="B3" s="114" t="s">
        <v>621</v>
      </c>
      <c r="C3" s="114" t="s">
        <v>95</v>
      </c>
      <c r="D3" s="116" t="s">
        <v>622</v>
      </c>
      <c r="E3" s="9"/>
      <c r="F3" s="9"/>
      <c r="G3" s="9"/>
      <c r="H3" s="9"/>
      <c r="I3" s="9"/>
      <c r="J3" s="9"/>
      <c r="K3" s="9"/>
      <c r="L3" s="9"/>
      <c r="N3" s="147"/>
      <c r="O3" s="147"/>
      <c r="P3" s="147"/>
      <c r="Q3" s="147"/>
      <c r="R3" s="147"/>
      <c r="S3" s="147"/>
      <c r="T3" s="147"/>
      <c r="U3" s="147"/>
      <c r="V3" s="147"/>
      <c r="W3" s="147"/>
      <c r="X3" s="147"/>
      <c r="Y3" s="147"/>
      <c r="Z3" s="147"/>
      <c r="AA3" s="147"/>
      <c r="AB3" s="147"/>
      <c r="AC3" s="147"/>
      <c r="AD3" s="147"/>
      <c r="AE3" s="147"/>
      <c r="AF3" s="147"/>
    </row>
    <row r="4" spans="1:34" s="3" customFormat="1" ht="6.75" customHeight="1" thickBot="1">
      <c r="A4" s="69"/>
      <c r="B4" s="69"/>
      <c r="C4" s="69"/>
      <c r="D4" s="70"/>
    </row>
    <row r="5" spans="1:34" s="95" customFormat="1" ht="18" customHeight="1">
      <c r="A5" s="157" t="s">
        <v>623</v>
      </c>
      <c r="B5" s="517" t="s">
        <v>624</v>
      </c>
      <c r="C5" s="477">
        <v>440.55</v>
      </c>
      <c r="D5" s="158" t="s">
        <v>625</v>
      </c>
      <c r="E5" s="148"/>
      <c r="F5" s="148"/>
      <c r="G5" s="148"/>
      <c r="H5" s="149"/>
      <c r="I5" s="149"/>
      <c r="J5" s="149"/>
      <c r="K5" s="149"/>
      <c r="L5" s="149"/>
      <c r="M5" s="149"/>
      <c r="N5" s="149"/>
      <c r="O5" s="149"/>
      <c r="P5" s="149"/>
      <c r="Q5" s="149"/>
      <c r="R5" s="149"/>
      <c r="S5" s="149"/>
      <c r="T5" s="149"/>
      <c r="U5" s="149"/>
      <c r="V5" s="149"/>
      <c r="W5" s="149"/>
      <c r="X5" s="150"/>
      <c r="Y5" s="150"/>
      <c r="Z5" s="150"/>
      <c r="AA5" s="149"/>
      <c r="AB5" s="149"/>
      <c r="AC5" s="150"/>
      <c r="AD5" s="150"/>
      <c r="AE5" s="150"/>
      <c r="AF5" s="150"/>
      <c r="AG5" s="9"/>
      <c r="AH5" s="72"/>
    </row>
    <row r="6" spans="1:34" s="95" customFormat="1" ht="18" customHeight="1">
      <c r="A6" s="737" t="s">
        <v>626</v>
      </c>
      <c r="B6" s="518" t="s">
        <v>627</v>
      </c>
      <c r="C6" s="479">
        <v>0.223</v>
      </c>
      <c r="D6" s="159" t="s">
        <v>628</v>
      </c>
      <c r="E6" s="148"/>
      <c r="F6" s="148"/>
      <c r="G6" s="148"/>
      <c r="AG6" s="9"/>
      <c r="AH6" s="72"/>
    </row>
    <row r="7" spans="1:34" s="95" customFormat="1" ht="18" customHeight="1">
      <c r="A7" s="737"/>
      <c r="B7" s="518" t="s">
        <v>629</v>
      </c>
      <c r="C7" s="480">
        <v>223</v>
      </c>
      <c r="D7" s="159" t="s">
        <v>630</v>
      </c>
      <c r="E7" s="148"/>
      <c r="F7" s="148"/>
      <c r="G7" s="148"/>
      <c r="AG7" s="9"/>
      <c r="AH7" s="72"/>
    </row>
    <row r="8" spans="1:34" s="95" customFormat="1" ht="18" customHeight="1">
      <c r="A8" s="737"/>
      <c r="B8" s="518" t="s">
        <v>631</v>
      </c>
      <c r="C8" s="478">
        <v>10.199999999999999</v>
      </c>
      <c r="D8" s="159" t="s">
        <v>632</v>
      </c>
      <c r="E8" s="148"/>
      <c r="F8" s="148"/>
      <c r="G8" s="148"/>
      <c r="AG8" s="9"/>
      <c r="AH8" s="72"/>
    </row>
    <row r="9" spans="1:34" s="95" customFormat="1" ht="18" customHeight="1">
      <c r="A9" s="737"/>
      <c r="B9" s="518" t="s">
        <v>633</v>
      </c>
      <c r="C9" s="527">
        <v>6.9680000000000002E-3</v>
      </c>
      <c r="D9" s="159" t="s">
        <v>634</v>
      </c>
      <c r="E9" s="148"/>
      <c r="F9" s="148"/>
      <c r="G9" s="148"/>
      <c r="K9" s="151"/>
      <c r="AG9" s="9"/>
      <c r="AH9" s="72"/>
    </row>
    <row r="10" spans="1:34" s="95" customFormat="1" ht="18" customHeight="1">
      <c r="A10" s="737" t="s">
        <v>635</v>
      </c>
      <c r="B10" s="518" t="s">
        <v>636</v>
      </c>
      <c r="C10" s="478">
        <v>154.66</v>
      </c>
      <c r="D10" s="159" t="s">
        <v>637</v>
      </c>
      <c r="E10" s="148"/>
      <c r="F10" s="148"/>
      <c r="G10" s="148"/>
      <c r="AG10" s="9"/>
      <c r="AH10" s="72"/>
    </row>
    <row r="11" spans="1:34" s="95" customFormat="1" ht="18" customHeight="1">
      <c r="A11" s="737"/>
      <c r="B11" s="518" t="s">
        <v>638</v>
      </c>
      <c r="C11" s="478">
        <v>65.88</v>
      </c>
      <c r="D11" s="159" t="s">
        <v>639</v>
      </c>
      <c r="E11" s="148"/>
      <c r="F11" s="148"/>
      <c r="G11" s="148"/>
      <c r="AG11" s="9"/>
      <c r="AH11" s="72"/>
    </row>
    <row r="12" spans="1:34" s="95" customFormat="1" ht="18" customHeight="1" thickBot="1">
      <c r="A12" s="521" t="s">
        <v>640</v>
      </c>
      <c r="B12" s="519" t="s">
        <v>641</v>
      </c>
      <c r="C12" s="520">
        <v>1827.43</v>
      </c>
      <c r="D12" s="160" t="s">
        <v>642</v>
      </c>
      <c r="E12" s="148"/>
      <c r="F12" s="148"/>
      <c r="G12" s="148"/>
      <c r="H12" s="149"/>
      <c r="I12" s="149"/>
      <c r="J12" s="149"/>
      <c r="K12" s="149"/>
      <c r="L12" s="149"/>
      <c r="M12" s="149"/>
      <c r="N12" s="149"/>
      <c r="O12" s="149"/>
      <c r="P12" s="149"/>
      <c r="Q12" s="149"/>
      <c r="R12" s="149"/>
      <c r="S12" s="149"/>
      <c r="T12" s="149"/>
      <c r="U12" s="149"/>
      <c r="V12" s="149"/>
      <c r="W12" s="149"/>
      <c r="X12" s="149"/>
      <c r="Y12" s="149"/>
      <c r="Z12" s="149"/>
      <c r="AA12" s="149"/>
      <c r="AB12" s="149"/>
      <c r="AC12" s="149"/>
      <c r="AD12" s="149"/>
      <c r="AE12" s="149"/>
      <c r="AF12" s="149"/>
      <c r="AG12" s="9"/>
      <c r="AH12" s="72"/>
    </row>
    <row r="13" spans="1:34" ht="12.75" customHeight="1">
      <c r="E13" s="9"/>
      <c r="F13" s="9"/>
      <c r="G13" s="9"/>
      <c r="H13" s="9"/>
      <c r="I13" s="9"/>
      <c r="J13" s="9"/>
      <c r="K13" s="9"/>
      <c r="L13" s="9"/>
      <c r="N13" s="147"/>
      <c r="O13" s="147"/>
      <c r="P13" s="147"/>
      <c r="Q13" s="147"/>
      <c r="R13" s="147"/>
      <c r="S13" s="147"/>
      <c r="T13" s="147"/>
      <c r="U13" s="147"/>
      <c r="V13" s="147"/>
      <c r="W13" s="147"/>
      <c r="X13" s="147"/>
      <c r="Y13" s="147"/>
      <c r="Z13" s="147"/>
      <c r="AA13" s="147"/>
      <c r="AB13" s="147"/>
      <c r="AC13" s="147"/>
      <c r="AD13" s="147"/>
      <c r="AE13" s="147"/>
      <c r="AF13" s="147"/>
    </row>
    <row r="14" spans="1:34" ht="12.75" customHeight="1">
      <c r="C14" s="481"/>
      <c r="D14" s="152" t="s">
        <v>643</v>
      </c>
      <c r="E14" s="9"/>
      <c r="F14" s="9"/>
      <c r="G14" s="9"/>
      <c r="H14" s="9"/>
      <c r="I14" s="9"/>
      <c r="J14" s="9"/>
      <c r="K14" s="9"/>
      <c r="L14" s="9"/>
      <c r="N14" s="147"/>
      <c r="O14" s="147"/>
      <c r="P14" s="147"/>
      <c r="Q14" s="147"/>
      <c r="R14" s="147"/>
      <c r="S14" s="147"/>
      <c r="T14" s="147"/>
      <c r="U14" s="147"/>
      <c r="V14" s="147"/>
      <c r="W14" s="147"/>
      <c r="X14" s="147"/>
      <c r="Y14" s="147"/>
      <c r="Z14" s="147"/>
      <c r="AA14" s="147"/>
      <c r="AB14" s="147"/>
      <c r="AC14" s="147"/>
      <c r="AD14" s="147"/>
      <c r="AE14" s="147"/>
      <c r="AF14" s="147"/>
    </row>
    <row r="15" spans="1:34" ht="6.75" customHeight="1">
      <c r="C15" s="153"/>
      <c r="D15" s="154"/>
      <c r="E15" s="9"/>
      <c r="F15" s="9"/>
      <c r="G15" s="9"/>
      <c r="H15" s="9"/>
      <c r="I15" s="9"/>
      <c r="J15" s="9"/>
      <c r="K15" s="9"/>
      <c r="L15" s="9"/>
      <c r="N15" s="147"/>
      <c r="O15" s="147"/>
      <c r="P15" s="147"/>
      <c r="Q15" s="147"/>
      <c r="R15" s="147"/>
      <c r="S15" s="147"/>
      <c r="T15" s="147"/>
      <c r="U15" s="147"/>
      <c r="V15" s="147"/>
      <c r="W15" s="147"/>
      <c r="X15" s="147"/>
      <c r="Y15" s="147"/>
      <c r="Z15" s="147"/>
      <c r="AA15" s="147"/>
      <c r="AB15" s="147"/>
      <c r="AC15" s="147"/>
      <c r="AD15" s="147"/>
      <c r="AE15" s="147"/>
      <c r="AF15" s="147"/>
    </row>
    <row r="16" spans="1:34" ht="12.75" customHeight="1">
      <c r="C16" s="482"/>
      <c r="D16" s="152" t="s">
        <v>644</v>
      </c>
      <c r="E16" s="9"/>
      <c r="F16" s="9"/>
      <c r="G16" s="9"/>
      <c r="H16" s="9"/>
      <c r="I16" s="9"/>
      <c r="J16" s="9"/>
      <c r="K16" s="9"/>
      <c r="L16" s="9"/>
      <c r="N16" s="147"/>
      <c r="O16" s="147"/>
      <c r="P16" s="147"/>
      <c r="Q16" s="147"/>
      <c r="R16" s="147"/>
      <c r="S16" s="147"/>
      <c r="T16" s="147"/>
      <c r="U16" s="147"/>
      <c r="V16" s="147"/>
      <c r="W16" s="147"/>
      <c r="X16" s="147"/>
      <c r="Y16" s="147"/>
      <c r="Z16" s="147"/>
      <c r="AA16" s="147"/>
      <c r="AB16" s="147"/>
      <c r="AC16" s="147"/>
      <c r="AD16" s="147"/>
      <c r="AE16" s="147"/>
      <c r="AF16" s="147"/>
    </row>
    <row r="17" spans="1:33" s="72" customFormat="1">
      <c r="A17" s="9"/>
      <c r="B17" s="9"/>
      <c r="C17" s="57"/>
      <c r="D17" s="57"/>
      <c r="E17" s="155"/>
      <c r="F17" s="155"/>
      <c r="G17" s="155"/>
      <c r="H17" s="155"/>
      <c r="I17" s="155"/>
      <c r="J17" s="155"/>
      <c r="K17" s="155"/>
      <c r="L17" s="155"/>
      <c r="M17" s="9"/>
      <c r="N17" s="155"/>
      <c r="O17" s="155"/>
      <c r="P17" s="155"/>
      <c r="Q17" s="155"/>
      <c r="R17" s="155"/>
      <c r="S17" s="155"/>
      <c r="T17" s="155"/>
      <c r="U17" s="155"/>
      <c r="V17" s="155"/>
      <c r="W17" s="155"/>
      <c r="X17" s="155"/>
      <c r="Y17" s="155"/>
      <c r="Z17" s="155"/>
      <c r="AA17" s="155"/>
      <c r="AB17" s="155"/>
      <c r="AC17" s="155"/>
      <c r="AD17" s="155"/>
      <c r="AE17" s="155"/>
      <c r="AF17" s="155"/>
      <c r="AG17" s="9"/>
    </row>
    <row r="18" spans="1:33" s="72" customFormat="1">
      <c r="A18" s="9"/>
      <c r="B18" s="9"/>
      <c r="C18" s="57"/>
      <c r="D18" s="57"/>
      <c r="E18" s="155"/>
      <c r="F18" s="155"/>
      <c r="G18" s="155"/>
      <c r="H18" s="155"/>
      <c r="I18" s="155"/>
      <c r="J18" s="155"/>
      <c r="K18" s="155"/>
      <c r="L18" s="155"/>
      <c r="M18" s="9"/>
      <c r="N18" s="155"/>
      <c r="O18" s="155"/>
      <c r="P18" s="155"/>
      <c r="Q18" s="155"/>
      <c r="R18" s="155"/>
      <c r="S18" s="155"/>
      <c r="T18" s="155"/>
      <c r="U18" s="155"/>
      <c r="V18" s="155"/>
      <c r="W18" s="155"/>
      <c r="X18" s="155"/>
      <c r="Y18" s="155"/>
      <c r="Z18" s="155"/>
      <c r="AA18" s="155"/>
      <c r="AB18" s="155"/>
      <c r="AC18" s="155"/>
      <c r="AD18" s="155"/>
      <c r="AE18" s="155"/>
      <c r="AF18" s="155"/>
      <c r="AG18" s="9"/>
    </row>
    <row r="19" spans="1:33" s="72" customFormat="1">
      <c r="A19" s="9"/>
      <c r="B19" s="9"/>
      <c r="C19" s="57"/>
      <c r="D19" s="57"/>
      <c r="E19" s="155"/>
      <c r="F19" s="155"/>
      <c r="G19" s="155"/>
      <c r="H19" s="155"/>
      <c r="I19" s="155"/>
      <c r="J19" s="155"/>
      <c r="K19" s="155"/>
      <c r="L19" s="155"/>
      <c r="M19" s="9"/>
      <c r="N19" s="155"/>
      <c r="O19" s="155"/>
      <c r="P19" s="155"/>
      <c r="Q19" s="155"/>
      <c r="R19" s="155"/>
      <c r="S19" s="155"/>
      <c r="T19" s="155"/>
      <c r="U19" s="155"/>
      <c r="V19" s="155"/>
      <c r="W19" s="155"/>
      <c r="X19" s="155"/>
      <c r="Y19" s="155"/>
      <c r="Z19" s="155"/>
      <c r="AA19" s="155"/>
      <c r="AB19" s="155"/>
      <c r="AC19" s="155"/>
      <c r="AD19" s="155"/>
      <c r="AE19" s="155"/>
      <c r="AF19" s="155"/>
      <c r="AG19" s="9"/>
    </row>
    <row r="20" spans="1:33" s="72" customFormat="1">
      <c r="A20" s="9"/>
      <c r="B20" s="9"/>
      <c r="C20" s="57"/>
      <c r="D20" s="57"/>
      <c r="E20" s="155"/>
      <c r="F20" s="155"/>
      <c r="G20" s="155"/>
      <c r="H20" s="155"/>
      <c r="I20" s="155"/>
      <c r="J20" s="155"/>
      <c r="K20" s="155"/>
      <c r="L20" s="155"/>
      <c r="M20" s="9"/>
      <c r="N20" s="155"/>
      <c r="O20" s="155"/>
      <c r="P20" s="155"/>
      <c r="Q20" s="155"/>
      <c r="R20" s="155"/>
      <c r="S20" s="155"/>
      <c r="T20" s="155"/>
      <c r="U20" s="155"/>
      <c r="V20" s="155"/>
      <c r="W20" s="155"/>
      <c r="X20" s="155"/>
      <c r="Y20" s="155"/>
      <c r="Z20" s="155"/>
      <c r="AA20" s="155"/>
      <c r="AB20" s="155"/>
      <c r="AC20" s="155"/>
      <c r="AD20" s="155"/>
      <c r="AE20" s="155"/>
      <c r="AF20" s="155"/>
      <c r="AG20" s="9"/>
    </row>
    <row r="21" spans="1:33" s="72" customFormat="1">
      <c r="A21" s="9"/>
      <c r="B21" s="9"/>
      <c r="C21" s="57"/>
      <c r="D21" s="57"/>
      <c r="E21" s="155"/>
      <c r="F21" s="155"/>
      <c r="G21" s="155"/>
      <c r="H21" s="155"/>
      <c r="I21" s="155"/>
      <c r="J21" s="155"/>
      <c r="K21" s="155"/>
      <c r="L21" s="155"/>
      <c r="M21" s="9"/>
      <c r="N21" s="155"/>
      <c r="O21" s="155"/>
      <c r="P21" s="155"/>
      <c r="Q21" s="155"/>
      <c r="R21" s="155"/>
      <c r="S21" s="155"/>
      <c r="T21" s="155"/>
      <c r="U21" s="155"/>
      <c r="V21" s="155"/>
      <c r="W21" s="155"/>
      <c r="X21" s="155"/>
      <c r="Y21" s="155"/>
      <c r="Z21" s="155"/>
      <c r="AA21" s="155"/>
      <c r="AB21" s="155"/>
      <c r="AC21" s="155"/>
      <c r="AD21" s="155"/>
      <c r="AE21" s="155"/>
      <c r="AF21" s="155"/>
      <c r="AG21" s="9"/>
    </row>
  </sheetData>
  <sheetProtection algorithmName="SHA-512" hashValue="S3B2OeUOxTC0YQcta4NFQI4s2f4/vEKm/vHN8hkx4uLdVZgN1bpVFxmG6w7l/MIGO1o3RsBrd4VkuUP3dnGeaQ==" saltValue="zHQXl1LKg+lEfVEOFVeEhw==" spinCount="100000" sheet="1" objects="1" scenarios="1"/>
  <mergeCells count="2">
    <mergeCell ref="A6:A9"/>
    <mergeCell ref="A10:A11"/>
  </mergeCells>
  <conditionalFormatting sqref="A1:C1">
    <cfRule type="duplicateValues" dxfId="2" priority="3"/>
  </conditionalFormatting>
  <conditionalFormatting sqref="A2:C2">
    <cfRule type="duplicateValues" dxfId="1" priority="2"/>
  </conditionalFormatting>
  <conditionalFormatting sqref="A4:C4">
    <cfRule type="duplicateValues" dxfId="0" priority="1"/>
  </conditionalFormatting>
  <printOptions horizontalCentered="1"/>
  <pageMargins left="0.70866141732283472" right="0.33" top="0.74803149606299213" bottom="0.74803149606299213" header="0.31496062992125984" footer="0.31496062992125984"/>
  <pageSetup paperSize="9" scale="65" orientation="portrait" verticalDpi="300"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9">
    <tabColor theme="3"/>
  </sheetPr>
  <dimension ref="A1:AF26"/>
  <sheetViews>
    <sheetView showGridLines="0" zoomScaleNormal="100" workbookViewId="0">
      <pane ySplit="5" topLeftCell="A6" activePane="bottomLeft" state="frozen"/>
      <selection pane="bottomLeft"/>
    </sheetView>
  </sheetViews>
  <sheetFormatPr defaultColWidth="9.140625" defaultRowHeight="12.6"/>
  <cols>
    <col min="1" max="1" width="15.42578125" style="92" customWidth="1"/>
    <col min="2" max="2" width="12.5703125" style="57" customWidth="1"/>
    <col min="3" max="3" width="10" style="57" customWidth="1"/>
    <col min="4" max="11" width="12.5703125" style="57" customWidth="1"/>
    <col min="12" max="12" width="1.42578125" style="76" customWidth="1"/>
    <col min="13" max="17" width="13.5703125" style="57" customWidth="1"/>
    <col min="18" max="18" width="1.42578125" style="443" customWidth="1"/>
    <col min="19" max="21" width="8.5703125" style="57" customWidth="1"/>
    <col min="22" max="22" width="1.42578125" style="443" customWidth="1"/>
    <col min="23" max="25" width="8.5703125" style="57" customWidth="1"/>
    <col min="26" max="26" width="3" style="57" customWidth="1"/>
    <col min="27" max="27" width="14.5703125" style="57" customWidth="1"/>
    <col min="28" max="28" width="10" style="245" customWidth="1"/>
    <col min="29" max="29" width="3" style="57" customWidth="1"/>
    <col min="30" max="30" width="11.5703125" style="394" customWidth="1"/>
    <col min="31" max="31" width="11.5703125" style="391" customWidth="1"/>
    <col min="32" max="32" width="9.140625" style="396"/>
    <col min="33" max="16384" width="9.140625" style="57"/>
  </cols>
  <sheetData>
    <row r="1" spans="1:32" s="2" customFormat="1" ht="36.75" customHeight="1">
      <c r="A1" s="319"/>
      <c r="B1" s="319"/>
      <c r="C1" s="319" t="s">
        <v>645</v>
      </c>
      <c r="D1" s="740"/>
      <c r="E1" s="741"/>
      <c r="F1" s="319"/>
      <c r="G1" s="319"/>
      <c r="H1" s="318"/>
      <c r="I1" s="318"/>
      <c r="J1" s="319" t="s">
        <v>646</v>
      </c>
      <c r="K1" s="484">
        <v>0.25</v>
      </c>
      <c r="L1" s="45"/>
      <c r="M1" s="744" t="s">
        <v>647</v>
      </c>
      <c r="N1" s="685"/>
      <c r="O1" s="685"/>
      <c r="P1" s="685"/>
      <c r="Q1" s="685"/>
      <c r="R1" s="443"/>
      <c r="S1" s="744" t="s">
        <v>648</v>
      </c>
      <c r="T1" s="744"/>
      <c r="U1" s="744"/>
      <c r="V1" s="744"/>
      <c r="W1" s="744"/>
      <c r="X1" s="744"/>
      <c r="Y1" s="744"/>
      <c r="AB1" s="243"/>
      <c r="AD1" s="385"/>
      <c r="AE1" s="388"/>
      <c r="AF1" s="395"/>
    </row>
    <row r="2" spans="1:32" s="443" customFormat="1" ht="13.35" customHeight="1" thickBot="1">
      <c r="K2" s="443" t="s">
        <v>649</v>
      </c>
      <c r="R2" s="443" t="s">
        <v>106</v>
      </c>
      <c r="V2" s="443" t="s">
        <v>106</v>
      </c>
      <c r="AC2" s="444"/>
      <c r="AD2" s="445"/>
      <c r="AE2" s="446"/>
      <c r="AF2" s="447"/>
    </row>
    <row r="3" spans="1:32" s="72" customFormat="1" ht="33" customHeight="1">
      <c r="A3" s="742" t="s">
        <v>469</v>
      </c>
      <c r="B3" s="655" t="s">
        <v>68</v>
      </c>
      <c r="C3" s="655" t="s">
        <v>165</v>
      </c>
      <c r="D3" s="655" t="s">
        <v>470</v>
      </c>
      <c r="E3" s="655" t="s">
        <v>471</v>
      </c>
      <c r="F3" s="655" t="s">
        <v>472</v>
      </c>
      <c r="G3" s="655" t="s">
        <v>473</v>
      </c>
      <c r="H3" s="655" t="s">
        <v>650</v>
      </c>
      <c r="I3" s="655" t="s">
        <v>651</v>
      </c>
      <c r="J3" s="655" t="s">
        <v>652</v>
      </c>
      <c r="K3" s="738" t="s">
        <v>653</v>
      </c>
      <c r="L3" s="76"/>
      <c r="M3" s="745" t="s">
        <v>165</v>
      </c>
      <c r="N3" s="745" t="s">
        <v>654</v>
      </c>
      <c r="O3" s="745" t="s">
        <v>655</v>
      </c>
      <c r="P3" s="745" t="s">
        <v>656</v>
      </c>
      <c r="Q3" s="745" t="s">
        <v>657</v>
      </c>
      <c r="R3" s="443"/>
      <c r="S3" s="745" t="s">
        <v>658</v>
      </c>
      <c r="T3" s="745"/>
      <c r="U3" s="745"/>
      <c r="V3" s="443"/>
      <c r="W3" s="745" t="s">
        <v>659</v>
      </c>
      <c r="X3" s="745"/>
      <c r="Y3" s="745"/>
      <c r="AA3" s="72" t="s">
        <v>660</v>
      </c>
      <c r="AB3" s="72" t="s">
        <v>661</v>
      </c>
      <c r="AC3" s="56"/>
      <c r="AD3" s="383" t="s">
        <v>662</v>
      </c>
      <c r="AE3" s="383" t="s">
        <v>663</v>
      </c>
      <c r="AF3" s="397"/>
    </row>
    <row r="4" spans="1:32" s="72" customFormat="1" ht="33" customHeight="1" thickBot="1">
      <c r="A4" s="743"/>
      <c r="B4" s="656"/>
      <c r="C4" s="656"/>
      <c r="D4" s="656"/>
      <c r="E4" s="656"/>
      <c r="F4" s="656"/>
      <c r="G4" s="656"/>
      <c r="H4" s="656"/>
      <c r="I4" s="656"/>
      <c r="J4" s="656"/>
      <c r="K4" s="739"/>
      <c r="L4" s="76"/>
      <c r="M4" s="745"/>
      <c r="N4" s="745"/>
      <c r="O4" s="745"/>
      <c r="P4" s="745"/>
      <c r="Q4" s="745"/>
      <c r="R4" s="443"/>
      <c r="S4" s="530" t="s">
        <v>664</v>
      </c>
      <c r="T4" s="530" t="s">
        <v>665</v>
      </c>
      <c r="U4" s="530" t="s">
        <v>666</v>
      </c>
      <c r="V4" s="443"/>
      <c r="W4" s="530" t="s">
        <v>664</v>
      </c>
      <c r="X4" s="530" t="s">
        <v>665</v>
      </c>
      <c r="Y4" s="530" t="s">
        <v>666</v>
      </c>
      <c r="AC4" s="56"/>
      <c r="AD4" s="383"/>
      <c r="AE4" s="383"/>
      <c r="AF4" s="397"/>
    </row>
    <row r="5" spans="1:32" s="9" customFormat="1" ht="6" customHeight="1" thickBot="1">
      <c r="A5" s="57"/>
      <c r="B5" s="57"/>
      <c r="C5" s="57"/>
      <c r="D5" s="57"/>
      <c r="E5" s="57"/>
      <c r="F5" s="57"/>
      <c r="G5" s="57"/>
      <c r="L5" s="76"/>
      <c r="R5" s="443"/>
      <c r="S5" s="531"/>
      <c r="T5" s="532"/>
      <c r="U5" s="533"/>
      <c r="V5" s="443"/>
      <c r="W5" s="531"/>
      <c r="X5" s="532"/>
      <c r="Y5" s="533"/>
      <c r="AB5" s="244"/>
      <c r="AC5" s="3"/>
      <c r="AD5" s="384"/>
      <c r="AE5" s="384"/>
      <c r="AF5" s="397"/>
    </row>
    <row r="6" spans="1:32" s="9" customFormat="1" ht="12.75" customHeight="1">
      <c r="A6" s="184" t="str">
        <f>Parametros_Orcam!C21</f>
        <v>Contratado</v>
      </c>
      <c r="B6" s="669" t="s">
        <v>485</v>
      </c>
      <c r="C6" s="117" t="str">
        <f>Parametros_Orcam!E21</f>
        <v>F0</v>
      </c>
      <c r="D6" s="118">
        <f>Parametros_Orcam!F21</f>
        <v>5880</v>
      </c>
      <c r="E6" s="118">
        <f>Parametros_Orcam!G21</f>
        <v>9450</v>
      </c>
      <c r="F6" s="119"/>
      <c r="G6" s="118">
        <f>E6+F6</f>
        <v>9450</v>
      </c>
      <c r="H6" s="171">
        <f>VLOOKUP(IF(LEN($D$1)&lt;2,"PE",$D$1),Custos_Estrutura,COLUMN(Parametros_Orcam!$C$1),0)  *  $G6</f>
        <v>1701</v>
      </c>
      <c r="I6" s="118">
        <f>VLOOKUP(IF(LEN($D$1)&lt;2,"PE",$D$1),Custos_Estrutura,COLUMN(Parametros_Orcam!$D$1),0)</f>
        <v>250</v>
      </c>
      <c r="J6" s="458"/>
      <c r="K6" s="163">
        <f>SUM(G6:J6)</f>
        <v>11401</v>
      </c>
      <c r="L6" s="76"/>
      <c r="M6" s="166" t="str">
        <f t="shared" ref="M6:M23" si="0">LEFT(C6,2)</f>
        <v>F0</v>
      </c>
      <c r="N6" s="118">
        <f t="shared" ref="N6:N23" si="1">K6*(1+Margem_Minima)</f>
        <v>14251.25</v>
      </c>
      <c r="O6" s="118">
        <f t="shared" ref="O6:O23" si="2">VLOOKUP($M6,Precos_Ref,2,0)</f>
        <v>14300</v>
      </c>
      <c r="P6" s="118">
        <f t="shared" ref="P6:P23" si="3">VLOOKUP($M6,Precos_Ref,3,0)</f>
        <v>15700</v>
      </c>
      <c r="Q6" s="163">
        <f t="shared" ref="Q6:Q23" si="4">VLOOKUP($M6,Precos_Ref,4,0)</f>
        <v>20000</v>
      </c>
      <c r="R6" s="443"/>
      <c r="S6" s="464">
        <f>O6/$K6-1</f>
        <v>0.25427594070695547</v>
      </c>
      <c r="T6" s="465">
        <f t="shared" ref="T6:U6" si="5">P6/$K6-1</f>
        <v>0.37707218665029374</v>
      </c>
      <c r="U6" s="466">
        <f t="shared" si="5"/>
        <v>0.75423208490483296</v>
      </c>
      <c r="V6" s="443"/>
      <c r="W6" s="464">
        <f>S6-Margem_Minima</f>
        <v>4.2759407069554722E-3</v>
      </c>
      <c r="X6" s="465">
        <f t="shared" ref="X6:X23" si="6">P6/$K6-1-Margem_Minima</f>
        <v>0.12707218665029374</v>
      </c>
      <c r="Y6" s="466">
        <f t="shared" ref="Y6:Y23" si="7">Q6/$K6-1-Margem_Minima</f>
        <v>0.50423208490483296</v>
      </c>
      <c r="AA6" s="375">
        <f>(($O6+$Q6)/2/G6-1)</f>
        <v>0.81481481481481488</v>
      </c>
      <c r="AB6" s="208">
        <f t="shared" ref="AB6:AB12" si="8">D6/D7-1</f>
        <v>0.34996142967343791</v>
      </c>
      <c r="AC6" s="56"/>
      <c r="AD6" s="387" t="s">
        <v>667</v>
      </c>
      <c r="AE6" s="392"/>
      <c r="AF6" s="397"/>
    </row>
    <row r="7" spans="1:32" s="9" customFormat="1" ht="12.75" customHeight="1">
      <c r="A7" s="185" t="str">
        <f>Parametros_Orcam!C22</f>
        <v>Contratado</v>
      </c>
      <c r="B7" s="670"/>
      <c r="C7" s="73" t="str">
        <f>Parametros_Orcam!E22</f>
        <v>F1</v>
      </c>
      <c r="D7" s="74">
        <f>Parametros_Orcam!F22</f>
        <v>4355.68</v>
      </c>
      <c r="E7" s="74">
        <f>Parametros_Orcam!G22</f>
        <v>7070</v>
      </c>
      <c r="F7" s="105"/>
      <c r="G7" s="74">
        <f t="shared" ref="G7:G23" si="9">E7+F7</f>
        <v>7070</v>
      </c>
      <c r="H7" s="172">
        <f>VLOOKUP(IF(LEN($D$1)&lt;2,"PE",$D$1),Custos_Estrutura,COLUMN(Parametros_Orcam!$C$1),0)  *  $G7</f>
        <v>1272.5999999999999</v>
      </c>
      <c r="I7" s="74">
        <f>VLOOKUP(IF(LEN($D$1)&lt;2,"PE",$D$1),Custos_Estrutura,COLUMN(Parametros_Orcam!$D$1),0)</f>
        <v>250</v>
      </c>
      <c r="J7" s="459"/>
      <c r="K7" s="164">
        <f t="shared" ref="K7:K23" si="10">SUM(G7:J7)</f>
        <v>8592.6</v>
      </c>
      <c r="L7" s="76"/>
      <c r="M7" s="167" t="str">
        <f t="shared" si="0"/>
        <v>F1</v>
      </c>
      <c r="N7" s="74">
        <f t="shared" si="1"/>
        <v>10740.75</v>
      </c>
      <c r="O7" s="74">
        <f t="shared" si="2"/>
        <v>11700</v>
      </c>
      <c r="P7" s="74">
        <f t="shared" si="3"/>
        <v>12900</v>
      </c>
      <c r="Q7" s="164">
        <f t="shared" si="4"/>
        <v>14000</v>
      </c>
      <c r="R7" s="443"/>
      <c r="S7" s="467">
        <f t="shared" ref="S7:S23" si="11">O7/$K7-1</f>
        <v>0.36163675720969191</v>
      </c>
      <c r="T7" s="468">
        <f t="shared" ref="T7:T23" si="12">P7/$K7-1</f>
        <v>0.50129180923119887</v>
      </c>
      <c r="U7" s="469">
        <f t="shared" ref="U7:U23" si="13">Q7/$K7-1</f>
        <v>0.62930894025091355</v>
      </c>
      <c r="V7" s="443"/>
      <c r="W7" s="467">
        <f t="shared" ref="W7:W23" si="14">O7/$K7-1-Margem_Minima</f>
        <v>0.11163675720969191</v>
      </c>
      <c r="X7" s="468">
        <f t="shared" si="6"/>
        <v>0.25129180923119887</v>
      </c>
      <c r="Y7" s="469">
        <f t="shared" si="7"/>
        <v>0.37930894025091355</v>
      </c>
      <c r="AA7" s="375">
        <f t="shared" ref="AA7:AA23" si="15">(($O7+$Q7)/2/G7-1)</f>
        <v>0.81753889674681757</v>
      </c>
      <c r="AB7" s="208">
        <f t="shared" si="8"/>
        <v>0.25007318459162997</v>
      </c>
      <c r="AC7" s="56"/>
      <c r="AD7" s="387" t="s">
        <v>668</v>
      </c>
      <c r="AE7" s="392"/>
      <c r="AF7" s="397"/>
    </row>
    <row r="8" spans="1:32" s="9" customFormat="1" ht="12.75" customHeight="1">
      <c r="A8" s="185" t="str">
        <f>Parametros_Orcam!C23</f>
        <v>Contratado</v>
      </c>
      <c r="B8" s="670"/>
      <c r="C8" s="73" t="str">
        <f>Parametros_Orcam!E23</f>
        <v>F2</v>
      </c>
      <c r="D8" s="74">
        <f>Parametros_Orcam!F23</f>
        <v>3484.34</v>
      </c>
      <c r="E8" s="74">
        <f>Parametros_Orcam!G23</f>
        <v>5700</v>
      </c>
      <c r="F8" s="105"/>
      <c r="G8" s="74">
        <f t="shared" si="9"/>
        <v>5700</v>
      </c>
      <c r="H8" s="172">
        <f>VLOOKUP(IF(LEN($D$1)&lt;2,"PE",$D$1),Custos_Estrutura,COLUMN(Parametros_Orcam!$C$1),0)  *  $G8</f>
        <v>1026</v>
      </c>
      <c r="I8" s="74">
        <f>VLOOKUP(IF(LEN($D$1)&lt;2,"PE",$D$1),Custos_Estrutura,COLUMN(Parametros_Orcam!$D$1),0)</f>
        <v>250</v>
      </c>
      <c r="J8" s="459"/>
      <c r="K8" s="164">
        <f t="shared" si="10"/>
        <v>6976</v>
      </c>
      <c r="L8" s="76"/>
      <c r="M8" s="167" t="str">
        <f t="shared" si="0"/>
        <v>F2</v>
      </c>
      <c r="N8" s="74">
        <f t="shared" si="1"/>
        <v>8720</v>
      </c>
      <c r="O8" s="74">
        <f t="shared" si="2"/>
        <v>9600</v>
      </c>
      <c r="P8" s="74">
        <f t="shared" si="3"/>
        <v>10600</v>
      </c>
      <c r="Q8" s="164">
        <f t="shared" si="4"/>
        <v>11500</v>
      </c>
      <c r="R8" s="443"/>
      <c r="S8" s="467">
        <f t="shared" si="11"/>
        <v>0.37614678899082565</v>
      </c>
      <c r="T8" s="468">
        <f t="shared" si="12"/>
        <v>0.51949541284403677</v>
      </c>
      <c r="U8" s="469">
        <f t="shared" si="13"/>
        <v>0.64850917431192667</v>
      </c>
      <c r="V8" s="443"/>
      <c r="W8" s="467">
        <f t="shared" si="14"/>
        <v>0.12614678899082565</v>
      </c>
      <c r="X8" s="468">
        <f t="shared" si="6"/>
        <v>0.26949541284403677</v>
      </c>
      <c r="Y8" s="469">
        <f t="shared" si="7"/>
        <v>0.39850917431192667</v>
      </c>
      <c r="AA8" s="375">
        <f t="shared" si="15"/>
        <v>0.85087719298245612</v>
      </c>
      <c r="AB8" s="208">
        <f t="shared" si="8"/>
        <v>0.23991246018895795</v>
      </c>
      <c r="AC8" s="56"/>
      <c r="AD8" s="387" t="s">
        <v>669</v>
      </c>
      <c r="AE8" s="392"/>
      <c r="AF8" s="397"/>
    </row>
    <row r="9" spans="1:32" s="9" customFormat="1" ht="12.75" customHeight="1">
      <c r="A9" s="185" t="str">
        <f>Parametros_Orcam!C24</f>
        <v>Contratado</v>
      </c>
      <c r="B9" s="670"/>
      <c r="C9" s="73" t="str">
        <f>Parametros_Orcam!E24</f>
        <v>F3</v>
      </c>
      <c r="D9" s="74">
        <f>Parametros_Orcam!F24</f>
        <v>2810.15</v>
      </c>
      <c r="E9" s="74">
        <f>Parametros_Orcam!G24</f>
        <v>4650</v>
      </c>
      <c r="F9" s="105"/>
      <c r="G9" s="74">
        <f t="shared" si="9"/>
        <v>4650</v>
      </c>
      <c r="H9" s="172">
        <f>VLOOKUP(IF(LEN($D$1)&lt;2,"PE",$D$1),Custos_Estrutura,COLUMN(Parametros_Orcam!$C$1),0)  *  $G9</f>
        <v>837</v>
      </c>
      <c r="I9" s="74">
        <f>VLOOKUP(IF(LEN($D$1)&lt;2,"PE",$D$1),Custos_Estrutura,COLUMN(Parametros_Orcam!$D$1),0)</f>
        <v>250</v>
      </c>
      <c r="J9" s="459"/>
      <c r="K9" s="164">
        <f t="shared" si="10"/>
        <v>5737</v>
      </c>
      <c r="L9" s="76"/>
      <c r="M9" s="167" t="str">
        <f t="shared" si="0"/>
        <v>F3</v>
      </c>
      <c r="N9" s="74">
        <f t="shared" si="1"/>
        <v>7171.25</v>
      </c>
      <c r="O9" s="74">
        <f t="shared" si="2"/>
        <v>7900</v>
      </c>
      <c r="P9" s="74">
        <f t="shared" si="3"/>
        <v>8700</v>
      </c>
      <c r="Q9" s="164">
        <f t="shared" si="4"/>
        <v>9500</v>
      </c>
      <c r="R9" s="443"/>
      <c r="S9" s="467">
        <f t="shared" si="11"/>
        <v>0.37702632037650341</v>
      </c>
      <c r="T9" s="468">
        <f t="shared" si="12"/>
        <v>0.51647202370576961</v>
      </c>
      <c r="U9" s="469">
        <f t="shared" si="13"/>
        <v>0.65591772703503581</v>
      </c>
      <c r="V9" s="443"/>
      <c r="W9" s="467">
        <f t="shared" si="14"/>
        <v>0.12702632037650341</v>
      </c>
      <c r="X9" s="468">
        <f t="shared" si="6"/>
        <v>0.26647202370576961</v>
      </c>
      <c r="Y9" s="469">
        <f t="shared" si="7"/>
        <v>0.40591772703503581</v>
      </c>
      <c r="AA9" s="375">
        <f t="shared" si="15"/>
        <v>0.87096774193548376</v>
      </c>
      <c r="AB9" s="208">
        <f t="shared" si="8"/>
        <v>0.22294753791587807</v>
      </c>
      <c r="AC9" s="56"/>
      <c r="AD9" s="387" t="s">
        <v>670</v>
      </c>
      <c r="AE9" s="392">
        <v>2700</v>
      </c>
      <c r="AF9" s="336" t="s">
        <v>671</v>
      </c>
    </row>
    <row r="10" spans="1:32" s="9" customFormat="1" ht="12.75" customHeight="1">
      <c r="A10" s="185" t="str">
        <f>Parametros_Orcam!C25</f>
        <v>Contratado</v>
      </c>
      <c r="B10" s="670"/>
      <c r="C10" s="73" t="str">
        <f>Parametros_Orcam!E25</f>
        <v>F3A</v>
      </c>
      <c r="D10" s="74">
        <f>Parametros_Orcam!F25</f>
        <v>2297.85</v>
      </c>
      <c r="E10" s="74">
        <f>Parametros_Orcam!G25</f>
        <v>3850</v>
      </c>
      <c r="F10" s="105"/>
      <c r="G10" s="74">
        <f t="shared" si="9"/>
        <v>3850</v>
      </c>
      <c r="H10" s="172">
        <f>VLOOKUP(IF(LEN($D$1)&lt;2,"PE",$D$1),Custos_Estrutura,COLUMN(Parametros_Orcam!$C$1),0)  *  $G10</f>
        <v>693</v>
      </c>
      <c r="I10" s="74">
        <f>VLOOKUP(IF(LEN($D$1)&lt;2,"PE",$D$1),Custos_Estrutura,COLUMN(Parametros_Orcam!$D$1),0)</f>
        <v>250</v>
      </c>
      <c r="J10" s="459"/>
      <c r="K10" s="164">
        <f t="shared" si="10"/>
        <v>4793</v>
      </c>
      <c r="L10" s="76"/>
      <c r="M10" s="167" t="str">
        <f t="shared" si="0"/>
        <v>F3</v>
      </c>
      <c r="N10" s="74">
        <f t="shared" si="1"/>
        <v>5991.25</v>
      </c>
      <c r="O10" s="74">
        <f t="shared" si="2"/>
        <v>7900</v>
      </c>
      <c r="P10" s="74">
        <f t="shared" si="3"/>
        <v>8700</v>
      </c>
      <c r="Q10" s="164">
        <f t="shared" si="4"/>
        <v>9500</v>
      </c>
      <c r="R10" s="443"/>
      <c r="S10" s="467">
        <f t="shared" si="11"/>
        <v>0.64823701230961817</v>
      </c>
      <c r="T10" s="468">
        <f t="shared" si="12"/>
        <v>0.81514708950552883</v>
      </c>
      <c r="U10" s="469">
        <f t="shared" si="13"/>
        <v>0.9820571667014395</v>
      </c>
      <c r="V10" s="443"/>
      <c r="W10" s="467">
        <f t="shared" si="14"/>
        <v>0.39823701230961817</v>
      </c>
      <c r="X10" s="468">
        <f t="shared" si="6"/>
        <v>0.56514708950552883</v>
      </c>
      <c r="Y10" s="469">
        <f t="shared" si="7"/>
        <v>0.7320571667014395</v>
      </c>
      <c r="AA10" s="375">
        <f t="shared" si="15"/>
        <v>1.2597402597402598</v>
      </c>
      <c r="AB10" s="208">
        <f t="shared" si="8"/>
        <v>0.20631545791007166</v>
      </c>
      <c r="AC10" s="56"/>
      <c r="AD10" s="387" t="s">
        <v>672</v>
      </c>
      <c r="AE10" s="392">
        <v>2000</v>
      </c>
      <c r="AF10" s="336" t="s">
        <v>673</v>
      </c>
    </row>
    <row r="11" spans="1:32" s="9" customFormat="1" ht="12.75" customHeight="1">
      <c r="A11" s="185" t="str">
        <f>Parametros_Orcam!C26</f>
        <v>Contratado</v>
      </c>
      <c r="B11" s="670"/>
      <c r="C11" s="73" t="str">
        <f>Parametros_Orcam!E26</f>
        <v>F4</v>
      </c>
      <c r="D11" s="74">
        <f>Parametros_Orcam!F26</f>
        <v>1904.85</v>
      </c>
      <c r="E11" s="74">
        <f>Parametros_Orcam!G26</f>
        <v>3230</v>
      </c>
      <c r="F11" s="105"/>
      <c r="G11" s="74">
        <f t="shared" si="9"/>
        <v>3230</v>
      </c>
      <c r="H11" s="172">
        <f>VLOOKUP(IF(LEN($D$1)&lt;2,"PE",$D$1),Custos_Estrutura,COLUMN(Parametros_Orcam!$C$1),0)  *  $G11</f>
        <v>581.4</v>
      </c>
      <c r="I11" s="74">
        <f>VLOOKUP(IF(LEN($D$1)&lt;2,"PE",$D$1),Custos_Estrutura,COLUMN(Parametros_Orcam!$D$1),0)</f>
        <v>250</v>
      </c>
      <c r="J11" s="459"/>
      <c r="K11" s="164">
        <f t="shared" si="10"/>
        <v>4061.4</v>
      </c>
      <c r="L11" s="76"/>
      <c r="M11" s="167" t="str">
        <f t="shared" si="0"/>
        <v>F4</v>
      </c>
      <c r="N11" s="74">
        <f t="shared" si="1"/>
        <v>5076.75</v>
      </c>
      <c r="O11" s="74">
        <f t="shared" si="2"/>
        <v>6500</v>
      </c>
      <c r="P11" s="74">
        <f t="shared" si="3"/>
        <v>7200</v>
      </c>
      <c r="Q11" s="164">
        <f t="shared" si="4"/>
        <v>7800</v>
      </c>
      <c r="R11" s="443"/>
      <c r="S11" s="467">
        <f t="shared" si="11"/>
        <v>0.60043334810656424</v>
      </c>
      <c r="T11" s="468">
        <f t="shared" si="12"/>
        <v>0.7727877086718864</v>
      </c>
      <c r="U11" s="469">
        <f t="shared" si="13"/>
        <v>0.92052001772787695</v>
      </c>
      <c r="V11" s="443"/>
      <c r="W11" s="467">
        <f t="shared" si="14"/>
        <v>0.35043334810656424</v>
      </c>
      <c r="X11" s="468">
        <f t="shared" si="6"/>
        <v>0.5227877086718864</v>
      </c>
      <c r="Y11" s="469">
        <f t="shared" si="7"/>
        <v>0.67052001772787695</v>
      </c>
      <c r="AA11" s="375">
        <f t="shared" si="15"/>
        <v>1.2136222910216716</v>
      </c>
      <c r="AB11" s="208">
        <f t="shared" si="8"/>
        <v>0.19138755980861255</v>
      </c>
      <c r="AC11" s="56"/>
      <c r="AD11" s="387"/>
      <c r="AE11" s="392">
        <f>(1800+1450)/2</f>
        <v>1625</v>
      </c>
      <c r="AF11" s="336" t="s">
        <v>674</v>
      </c>
    </row>
    <row r="12" spans="1:32" s="9" customFormat="1" ht="12.75" customHeight="1">
      <c r="A12" s="185" t="str">
        <f>Parametros_Orcam!C27</f>
        <v>Contratado</v>
      </c>
      <c r="B12" s="670"/>
      <c r="C12" s="73" t="str">
        <f>Parametros_Orcam!E27</f>
        <v>F4A</v>
      </c>
      <c r="D12" s="74">
        <f>Parametros_Orcam!F27</f>
        <v>1598.85</v>
      </c>
      <c r="E12" s="74">
        <f>Parametros_Orcam!G27</f>
        <v>2750</v>
      </c>
      <c r="F12" s="105"/>
      <c r="G12" s="74">
        <f t="shared" si="9"/>
        <v>2750</v>
      </c>
      <c r="H12" s="172">
        <f>VLOOKUP(IF(LEN($D$1)&lt;2,"PE",$D$1),Custos_Estrutura,COLUMN(Parametros_Orcam!$C$1),0)  *  $G12</f>
        <v>495</v>
      </c>
      <c r="I12" s="74">
        <f>VLOOKUP(IF(LEN($D$1)&lt;2,"PE",$D$1),Custos_Estrutura,COLUMN(Parametros_Orcam!$D$1),0)</f>
        <v>250</v>
      </c>
      <c r="J12" s="459"/>
      <c r="K12" s="164">
        <f t="shared" si="10"/>
        <v>3495</v>
      </c>
      <c r="L12" s="76"/>
      <c r="M12" s="167" t="str">
        <f t="shared" si="0"/>
        <v>F4</v>
      </c>
      <c r="N12" s="74">
        <f t="shared" si="1"/>
        <v>4368.75</v>
      </c>
      <c r="O12" s="74">
        <f t="shared" si="2"/>
        <v>6500</v>
      </c>
      <c r="P12" s="74">
        <f t="shared" si="3"/>
        <v>7200</v>
      </c>
      <c r="Q12" s="164">
        <f t="shared" si="4"/>
        <v>7800</v>
      </c>
      <c r="R12" s="443"/>
      <c r="S12" s="467">
        <f t="shared" si="11"/>
        <v>0.85979971387696708</v>
      </c>
      <c r="T12" s="468">
        <f t="shared" si="12"/>
        <v>1.0600858369098711</v>
      </c>
      <c r="U12" s="469">
        <f t="shared" si="13"/>
        <v>1.2317596566523603</v>
      </c>
      <c r="V12" s="443"/>
      <c r="W12" s="467">
        <f t="shared" si="14"/>
        <v>0.60979971387696708</v>
      </c>
      <c r="X12" s="468">
        <f t="shared" si="6"/>
        <v>0.81008583690987113</v>
      </c>
      <c r="Y12" s="469">
        <f t="shared" si="7"/>
        <v>0.98175965665236031</v>
      </c>
      <c r="AA12" s="375">
        <f t="shared" si="15"/>
        <v>1.6</v>
      </c>
      <c r="AB12" s="208">
        <f t="shared" si="8"/>
        <v>0.1783542764491286</v>
      </c>
      <c r="AC12" s="56"/>
      <c r="AD12" s="387"/>
      <c r="AE12" s="392">
        <v>1450</v>
      </c>
      <c r="AF12" s="336" t="s">
        <v>675</v>
      </c>
    </row>
    <row r="13" spans="1:32" ht="12.75" customHeight="1" thickBot="1">
      <c r="A13" s="233" t="str">
        <f>Parametros_Orcam!C29</f>
        <v>Contratado</v>
      </c>
      <c r="B13" s="671"/>
      <c r="C13" s="120" t="str">
        <f>Parametros_Orcam!E28</f>
        <v>F5</v>
      </c>
      <c r="D13" s="121">
        <f>Parametros_Orcam!F28</f>
        <v>1356.85</v>
      </c>
      <c r="E13" s="121">
        <f>Parametros_Orcam!G28</f>
        <v>2370</v>
      </c>
      <c r="F13" s="122"/>
      <c r="G13" s="121">
        <f t="shared" si="9"/>
        <v>2370</v>
      </c>
      <c r="H13" s="173">
        <f>VLOOKUP(IF(LEN($D$1)&lt;2,"PE",$D$1),Custos_Estrutura,COLUMN(Parametros_Orcam!$C$1),0)  *  $G13</f>
        <v>426.59999999999997</v>
      </c>
      <c r="I13" s="121">
        <f>VLOOKUP(IF(LEN($D$1)&lt;2,"PE",$D$1),Custos_Estrutura,COLUMN(Parametros_Orcam!$D$1),0)</f>
        <v>250</v>
      </c>
      <c r="J13" s="460"/>
      <c r="K13" s="165">
        <f t="shared" si="10"/>
        <v>3046.6</v>
      </c>
      <c r="M13" s="168" t="str">
        <f t="shared" si="0"/>
        <v>F5</v>
      </c>
      <c r="N13" s="121">
        <f t="shared" si="1"/>
        <v>3808.25</v>
      </c>
      <c r="O13" s="121">
        <f t="shared" si="2"/>
        <v>5300</v>
      </c>
      <c r="P13" s="121">
        <f t="shared" si="3"/>
        <v>5800</v>
      </c>
      <c r="Q13" s="165">
        <f t="shared" si="4"/>
        <v>6400</v>
      </c>
      <c r="S13" s="467">
        <f t="shared" si="11"/>
        <v>0.73964419352721067</v>
      </c>
      <c r="T13" s="468">
        <f t="shared" si="12"/>
        <v>0.90376157027506077</v>
      </c>
      <c r="U13" s="469">
        <f t="shared" si="13"/>
        <v>1.1007024223724811</v>
      </c>
      <c r="W13" s="467">
        <f t="shared" si="14"/>
        <v>0.48964419352721067</v>
      </c>
      <c r="X13" s="468">
        <f t="shared" si="6"/>
        <v>0.65376157027506077</v>
      </c>
      <c r="Y13" s="469">
        <f t="shared" si="7"/>
        <v>0.85070242237248106</v>
      </c>
      <c r="AA13" s="375">
        <f t="shared" si="15"/>
        <v>1.4683544303797467</v>
      </c>
      <c r="AB13" s="208"/>
      <c r="AC13" s="56"/>
      <c r="AD13" s="393"/>
      <c r="AE13" s="389"/>
      <c r="AF13" s="336"/>
    </row>
    <row r="14" spans="1:32" ht="12.75" customHeight="1">
      <c r="A14" s="184" t="str">
        <f>Parametros_Orcam!C34</f>
        <v>Docente</v>
      </c>
      <c r="B14" s="669" t="s">
        <v>499</v>
      </c>
      <c r="C14" s="117" t="str">
        <f>Parametros_Orcam!E34</f>
        <v>F0</v>
      </c>
      <c r="D14" s="123"/>
      <c r="E14" s="118">
        <f>Parametros_Orcam!G34</f>
        <v>40</v>
      </c>
      <c r="F14" s="118">
        <f>Parametros_Orcam!H34</f>
        <v>8340</v>
      </c>
      <c r="G14" s="118">
        <f t="shared" si="9"/>
        <v>8380</v>
      </c>
      <c r="H14" s="171">
        <f>VLOOKUP(IF(LEN($D$1)&lt;2,"PE",$D$1),Custos_Estrutura,COLUMN(Parametros_Orcam!$C$1),0)  *  $G14</f>
        <v>1508.3999999999999</v>
      </c>
      <c r="I14" s="118">
        <f>VLOOKUP(IF(LEN($D$1)&lt;2,"PE",$D$1),Custos_Estrutura,COLUMN(Parametros_Orcam!$D$1),0)</f>
        <v>250</v>
      </c>
      <c r="J14" s="458"/>
      <c r="K14" s="163">
        <f t="shared" si="10"/>
        <v>10138.4</v>
      </c>
      <c r="M14" s="166" t="str">
        <f t="shared" si="0"/>
        <v>F0</v>
      </c>
      <c r="N14" s="118">
        <f t="shared" si="1"/>
        <v>12673</v>
      </c>
      <c r="O14" s="118">
        <f t="shared" si="2"/>
        <v>14300</v>
      </c>
      <c r="P14" s="118">
        <f t="shared" si="3"/>
        <v>15700</v>
      </c>
      <c r="Q14" s="163">
        <f t="shared" si="4"/>
        <v>20000</v>
      </c>
      <c r="S14" s="467">
        <f t="shared" si="11"/>
        <v>0.41047897104079545</v>
      </c>
      <c r="T14" s="468">
        <f t="shared" si="12"/>
        <v>0.54856782135248161</v>
      </c>
      <c r="U14" s="469">
        <f t="shared" si="13"/>
        <v>0.97269786159551819</v>
      </c>
      <c r="W14" s="467">
        <f t="shared" si="14"/>
        <v>0.16047897104079545</v>
      </c>
      <c r="X14" s="468">
        <f t="shared" si="6"/>
        <v>0.29856782135248161</v>
      </c>
      <c r="Y14" s="469">
        <f t="shared" si="7"/>
        <v>0.72269786159551819</v>
      </c>
      <c r="AA14" s="375">
        <f t="shared" si="15"/>
        <v>1.0465393794749405</v>
      </c>
      <c r="AB14" s="208"/>
      <c r="AC14" s="56"/>
      <c r="AD14" s="393"/>
      <c r="AE14" s="389"/>
      <c r="AF14" s="336"/>
    </row>
    <row r="15" spans="1:32" ht="12.75" customHeight="1">
      <c r="A15" s="185" t="str">
        <f>Parametros_Orcam!C35</f>
        <v>Docente</v>
      </c>
      <c r="B15" s="670"/>
      <c r="C15" s="73" t="str">
        <f>Parametros_Orcam!E35</f>
        <v>F1</v>
      </c>
      <c r="D15" s="75"/>
      <c r="E15" s="74">
        <f>Parametros_Orcam!G35</f>
        <v>40</v>
      </c>
      <c r="F15" s="74">
        <f>Parametros_Orcam!H35</f>
        <v>6950</v>
      </c>
      <c r="G15" s="74">
        <f t="shared" si="9"/>
        <v>6990</v>
      </c>
      <c r="H15" s="172">
        <f>VLOOKUP(IF(LEN($D$1)&lt;2,"PE",$D$1),Custos_Estrutura,COLUMN(Parametros_Orcam!$C$1),0)  *  $G15</f>
        <v>1258.2</v>
      </c>
      <c r="I15" s="74">
        <f>VLOOKUP(IF(LEN($D$1)&lt;2,"PE",$D$1),Custos_Estrutura,COLUMN(Parametros_Orcam!$D$1),0)</f>
        <v>250</v>
      </c>
      <c r="J15" s="459"/>
      <c r="K15" s="164">
        <f t="shared" si="10"/>
        <v>8498.2000000000007</v>
      </c>
      <c r="M15" s="167" t="str">
        <f t="shared" si="0"/>
        <v>F1</v>
      </c>
      <c r="N15" s="74">
        <f t="shared" si="1"/>
        <v>10622.75</v>
      </c>
      <c r="O15" s="74">
        <f t="shared" si="2"/>
        <v>11700</v>
      </c>
      <c r="P15" s="74">
        <f t="shared" si="3"/>
        <v>12900</v>
      </c>
      <c r="Q15" s="164">
        <f t="shared" si="4"/>
        <v>14000</v>
      </c>
      <c r="S15" s="467">
        <f t="shared" si="11"/>
        <v>0.37676213786448876</v>
      </c>
      <c r="T15" s="468">
        <f t="shared" si="12"/>
        <v>0.51796851097879548</v>
      </c>
      <c r="U15" s="469">
        <f t="shared" si="13"/>
        <v>0.64740768633357648</v>
      </c>
      <c r="W15" s="467">
        <f t="shared" si="14"/>
        <v>0.12676213786448876</v>
      </c>
      <c r="X15" s="468">
        <f t="shared" si="6"/>
        <v>0.26796851097879548</v>
      </c>
      <c r="Y15" s="469">
        <f t="shared" si="7"/>
        <v>0.39740768633357648</v>
      </c>
      <c r="AA15" s="375">
        <f t="shared" si="15"/>
        <v>0.83834048640915593</v>
      </c>
      <c r="AB15" s="246"/>
      <c r="AC15" s="56"/>
      <c r="AD15" s="393"/>
      <c r="AE15" s="389"/>
      <c r="AF15" s="336"/>
    </row>
    <row r="16" spans="1:32" ht="12.75" customHeight="1">
      <c r="A16" s="185" t="str">
        <f>Parametros_Orcam!C36</f>
        <v>Docente</v>
      </c>
      <c r="B16" s="670"/>
      <c r="C16" s="73" t="str">
        <f>Parametros_Orcam!E36</f>
        <v>F2</v>
      </c>
      <c r="D16" s="75"/>
      <c r="E16" s="74">
        <f>Parametros_Orcam!G36</f>
        <v>40</v>
      </c>
      <c r="F16" s="74">
        <f>Parametros_Orcam!H36</f>
        <v>5610</v>
      </c>
      <c r="G16" s="74">
        <f t="shared" si="9"/>
        <v>5650</v>
      </c>
      <c r="H16" s="172">
        <f>VLOOKUP(IF(LEN($D$1)&lt;2,"PE",$D$1),Custos_Estrutura,COLUMN(Parametros_Orcam!$C$1),0)  *  $G16</f>
        <v>1017</v>
      </c>
      <c r="I16" s="74">
        <f>VLOOKUP(IF(LEN($D$1)&lt;2,"PE",$D$1),Custos_Estrutura,COLUMN(Parametros_Orcam!$D$1),0)</f>
        <v>250</v>
      </c>
      <c r="J16" s="459"/>
      <c r="K16" s="164">
        <f t="shared" si="10"/>
        <v>6917</v>
      </c>
      <c r="M16" s="167" t="str">
        <f t="shared" si="0"/>
        <v>F2</v>
      </c>
      <c r="N16" s="74">
        <f t="shared" si="1"/>
        <v>8646.25</v>
      </c>
      <c r="O16" s="74">
        <f t="shared" si="2"/>
        <v>9600</v>
      </c>
      <c r="P16" s="74">
        <f t="shared" si="3"/>
        <v>10600</v>
      </c>
      <c r="Q16" s="164">
        <f t="shared" si="4"/>
        <v>11500</v>
      </c>
      <c r="S16" s="467">
        <f t="shared" si="11"/>
        <v>0.3878849212086164</v>
      </c>
      <c r="T16" s="468">
        <f t="shared" si="12"/>
        <v>0.53245626716784744</v>
      </c>
      <c r="U16" s="469">
        <f t="shared" si="13"/>
        <v>0.66257047853115503</v>
      </c>
      <c r="W16" s="467">
        <f t="shared" si="14"/>
        <v>0.1378849212086164</v>
      </c>
      <c r="X16" s="468">
        <f t="shared" si="6"/>
        <v>0.28245626716784744</v>
      </c>
      <c r="Y16" s="469">
        <f t="shared" si="7"/>
        <v>0.41257047853115503</v>
      </c>
      <c r="AA16" s="375">
        <f t="shared" si="15"/>
        <v>0.86725663716814161</v>
      </c>
      <c r="AB16" s="246"/>
      <c r="AC16" s="56"/>
      <c r="AD16" s="393"/>
      <c r="AE16" s="389"/>
      <c r="AF16" s="336"/>
    </row>
    <row r="17" spans="1:32" ht="12.75" customHeight="1">
      <c r="A17" s="185" t="str">
        <f>Parametros_Orcam!C37</f>
        <v>Docente</v>
      </c>
      <c r="B17" s="670"/>
      <c r="C17" s="73" t="str">
        <f>Parametros_Orcam!E37</f>
        <v>F3</v>
      </c>
      <c r="D17" s="75"/>
      <c r="E17" s="74">
        <f>Parametros_Orcam!G37</f>
        <v>40</v>
      </c>
      <c r="F17" s="74">
        <f>Parametros_Orcam!H37</f>
        <v>4370</v>
      </c>
      <c r="G17" s="74">
        <f t="shared" si="9"/>
        <v>4410</v>
      </c>
      <c r="H17" s="172">
        <f>VLOOKUP(IF(LEN($D$1)&lt;2,"PE",$D$1),Custos_Estrutura,COLUMN(Parametros_Orcam!$C$1),0)  *  $G17</f>
        <v>793.8</v>
      </c>
      <c r="I17" s="74">
        <f>VLOOKUP(IF(LEN($D$1)&lt;2,"PE",$D$1),Custos_Estrutura,COLUMN(Parametros_Orcam!$D$1),0)</f>
        <v>250</v>
      </c>
      <c r="J17" s="459"/>
      <c r="K17" s="164">
        <f t="shared" si="10"/>
        <v>5453.8</v>
      </c>
      <c r="M17" s="167" t="str">
        <f t="shared" si="0"/>
        <v>F3</v>
      </c>
      <c r="N17" s="74">
        <f t="shared" si="1"/>
        <v>6817.25</v>
      </c>
      <c r="O17" s="74">
        <f t="shared" si="2"/>
        <v>7900</v>
      </c>
      <c r="P17" s="74">
        <f t="shared" si="3"/>
        <v>8700</v>
      </c>
      <c r="Q17" s="164">
        <f t="shared" si="4"/>
        <v>9500</v>
      </c>
      <c r="S17" s="467">
        <f t="shared" si="11"/>
        <v>0.44853129927756785</v>
      </c>
      <c r="T17" s="468">
        <f t="shared" si="12"/>
        <v>0.59521801312846079</v>
      </c>
      <c r="U17" s="469">
        <f t="shared" si="13"/>
        <v>0.74190472697935372</v>
      </c>
      <c r="W17" s="467">
        <f t="shared" si="14"/>
        <v>0.19853129927756785</v>
      </c>
      <c r="X17" s="468">
        <f t="shared" si="6"/>
        <v>0.34521801312846079</v>
      </c>
      <c r="Y17" s="469">
        <f t="shared" si="7"/>
        <v>0.49190472697935372</v>
      </c>
      <c r="AA17" s="375">
        <f t="shared" si="15"/>
        <v>0.97278911564625847</v>
      </c>
      <c r="AB17" s="246"/>
      <c r="AC17" s="56"/>
      <c r="AD17" s="393"/>
      <c r="AE17" s="389"/>
      <c r="AF17" s="336"/>
    </row>
    <row r="18" spans="1:32" ht="12.75" customHeight="1" thickBot="1">
      <c r="A18" s="233" t="str">
        <f>Parametros_Orcam!C38</f>
        <v>Docente</v>
      </c>
      <c r="B18" s="671"/>
      <c r="C18" s="120" t="str">
        <f>Parametros_Orcam!E38</f>
        <v>F4</v>
      </c>
      <c r="D18" s="124"/>
      <c r="E18" s="121">
        <f>Parametros_Orcam!G38</f>
        <v>40</v>
      </c>
      <c r="F18" s="121">
        <f>Parametros_Orcam!H38</f>
        <v>3140</v>
      </c>
      <c r="G18" s="121">
        <f t="shared" si="9"/>
        <v>3180</v>
      </c>
      <c r="H18" s="173">
        <f>VLOOKUP(IF(LEN($D$1)&lt;2,"PE",$D$1),Custos_Estrutura,COLUMN(Parametros_Orcam!$C$1),0)  *  $G18</f>
        <v>572.4</v>
      </c>
      <c r="I18" s="121">
        <f>VLOOKUP(IF(LEN($D$1)&lt;2,"PE",$D$1),Custos_Estrutura,COLUMN(Parametros_Orcam!$D$1),0)</f>
        <v>250</v>
      </c>
      <c r="J18" s="460"/>
      <c r="K18" s="165">
        <f t="shared" si="10"/>
        <v>4002.4</v>
      </c>
      <c r="M18" s="168" t="str">
        <f t="shared" si="0"/>
        <v>F4</v>
      </c>
      <c r="N18" s="121">
        <f t="shared" si="1"/>
        <v>5003</v>
      </c>
      <c r="O18" s="121">
        <f t="shared" si="2"/>
        <v>6500</v>
      </c>
      <c r="P18" s="121">
        <f t="shared" si="3"/>
        <v>7200</v>
      </c>
      <c r="Q18" s="165">
        <f t="shared" si="4"/>
        <v>7800</v>
      </c>
      <c r="S18" s="467">
        <f t="shared" si="11"/>
        <v>0.62402558464921043</v>
      </c>
      <c r="T18" s="468">
        <f t="shared" si="12"/>
        <v>0.798920647611433</v>
      </c>
      <c r="U18" s="469">
        <f t="shared" si="13"/>
        <v>0.94883070157905247</v>
      </c>
      <c r="W18" s="467">
        <f t="shared" si="14"/>
        <v>0.37402558464921043</v>
      </c>
      <c r="X18" s="468">
        <f t="shared" si="6"/>
        <v>0.548920647611433</v>
      </c>
      <c r="Y18" s="469">
        <f t="shared" si="7"/>
        <v>0.69883070157905247</v>
      </c>
      <c r="AA18" s="375">
        <f t="shared" si="15"/>
        <v>1.2484276729559749</v>
      </c>
      <c r="AB18" s="246"/>
      <c r="AC18" s="56"/>
      <c r="AD18" s="393"/>
      <c r="AE18" s="389"/>
      <c r="AF18" s="336"/>
    </row>
    <row r="19" spans="1:32" ht="12.75" customHeight="1">
      <c r="A19" s="184" t="str">
        <f>Parametros_Orcam!C39</f>
        <v>BIPD</v>
      </c>
      <c r="B19" s="693" t="s">
        <v>505</v>
      </c>
      <c r="C19" s="125" t="str">
        <f>Parametros_Orcam!E39</f>
        <v>F3</v>
      </c>
      <c r="D19" s="118">
        <v>1741</v>
      </c>
      <c r="E19" s="118">
        <f>Parametros_Orcam!G39</f>
        <v>4470</v>
      </c>
      <c r="F19" s="118">
        <f>Parametros_Orcam!H39</f>
        <v>1480.8000000000002</v>
      </c>
      <c r="G19" s="118">
        <f t="shared" si="9"/>
        <v>5950.8</v>
      </c>
      <c r="H19" s="171">
        <f>VLOOKUP(IF(LEN($D$1)&lt;2,"PE",$D$1),Custos_Estrutura,COLUMN(Parametros_Orcam!$C$1),0)  *  $G19</f>
        <v>1071.144</v>
      </c>
      <c r="I19" s="118">
        <f>VLOOKUP(IF(LEN($D$1)&lt;2,"PE",$D$1),Custos_Estrutura,COLUMN(Parametros_Orcam!$D$1),0)</f>
        <v>250</v>
      </c>
      <c r="J19" s="458"/>
      <c r="K19" s="163">
        <f t="shared" si="10"/>
        <v>7271.9440000000004</v>
      </c>
      <c r="M19" s="404" t="str">
        <f t="shared" si="0"/>
        <v>F3</v>
      </c>
      <c r="N19" s="118">
        <f t="shared" si="1"/>
        <v>9089.93</v>
      </c>
      <c r="O19" s="118">
        <f t="shared" si="2"/>
        <v>7900</v>
      </c>
      <c r="P19" s="118">
        <f t="shared" si="3"/>
        <v>8700</v>
      </c>
      <c r="Q19" s="163">
        <f t="shared" si="4"/>
        <v>9500</v>
      </c>
      <c r="S19" s="467">
        <f t="shared" si="11"/>
        <v>8.6367001726085801E-2</v>
      </c>
      <c r="T19" s="468">
        <f t="shared" si="12"/>
        <v>0.19637885000214506</v>
      </c>
      <c r="U19" s="469">
        <f t="shared" si="13"/>
        <v>0.30639069827820453</v>
      </c>
      <c r="W19" s="467">
        <f t="shared" si="14"/>
        <v>-0.1636329982739142</v>
      </c>
      <c r="X19" s="468">
        <f t="shared" si="6"/>
        <v>-5.3621149997854944E-2</v>
      </c>
      <c r="Y19" s="469">
        <f t="shared" si="7"/>
        <v>5.6390698278204532E-2</v>
      </c>
      <c r="AA19" s="375">
        <f t="shared" si="15"/>
        <v>0.46198830409356728</v>
      </c>
      <c r="AB19" s="246"/>
      <c r="AC19" s="56"/>
      <c r="AD19" s="393"/>
      <c r="AE19" s="389"/>
      <c r="AF19" s="336"/>
    </row>
    <row r="20" spans="1:32" ht="12.75" customHeight="1">
      <c r="A20" s="185" t="str">
        <f>Parametros_Orcam!C40</f>
        <v>BI-M-ED</v>
      </c>
      <c r="B20" s="670"/>
      <c r="C20" s="126" t="str">
        <f>Parametros_Orcam!E40</f>
        <v>F4</v>
      </c>
      <c r="D20" s="74">
        <v>1199.6400000000001</v>
      </c>
      <c r="E20" s="74">
        <f>Parametros_Orcam!G40</f>
        <v>3830</v>
      </c>
      <c r="F20" s="74">
        <f>Parametros_Orcam!H40</f>
        <v>523.85600000000011</v>
      </c>
      <c r="G20" s="74">
        <f t="shared" si="9"/>
        <v>4353.8559999999998</v>
      </c>
      <c r="H20" s="172">
        <f>VLOOKUP(IF(LEN($D$1)&lt;2,"PE",$D$1),Custos_Estrutura,COLUMN(Parametros_Orcam!$C$1),0)  *  $G20</f>
        <v>783.69407999999999</v>
      </c>
      <c r="I20" s="74">
        <f>VLOOKUP(IF(LEN($D$1)&lt;2,"PE",$D$1),Custos_Estrutura,COLUMN(Parametros_Orcam!$D$1),0)</f>
        <v>250</v>
      </c>
      <c r="J20" s="459"/>
      <c r="K20" s="164">
        <f t="shared" si="10"/>
        <v>5387.55008</v>
      </c>
      <c r="M20" s="169" t="str">
        <f t="shared" si="0"/>
        <v>F4</v>
      </c>
      <c r="N20" s="74">
        <f t="shared" si="1"/>
        <v>6734.4376000000002</v>
      </c>
      <c r="O20" s="74">
        <f t="shared" si="2"/>
        <v>6500</v>
      </c>
      <c r="P20" s="74">
        <f t="shared" si="3"/>
        <v>7200</v>
      </c>
      <c r="Q20" s="164">
        <f t="shared" si="4"/>
        <v>7800</v>
      </c>
      <c r="S20" s="467">
        <f t="shared" si="11"/>
        <v>0.20648530472685644</v>
      </c>
      <c r="T20" s="468">
        <f t="shared" si="12"/>
        <v>0.33641449138974866</v>
      </c>
      <c r="U20" s="469">
        <f t="shared" si="13"/>
        <v>0.44778236567222773</v>
      </c>
      <c r="W20" s="467">
        <f t="shared" si="14"/>
        <v>-4.3514695273143555E-2</v>
      </c>
      <c r="X20" s="468">
        <f t="shared" si="6"/>
        <v>8.641449138974866E-2</v>
      </c>
      <c r="Y20" s="469">
        <f t="shared" si="7"/>
        <v>0.19778236567222773</v>
      </c>
      <c r="AA20" s="375">
        <f t="shared" si="15"/>
        <v>0.64222243454997141</v>
      </c>
      <c r="AB20" s="246"/>
      <c r="AC20" s="56"/>
      <c r="AD20" s="393"/>
      <c r="AE20" s="389"/>
      <c r="AF20" s="336"/>
    </row>
    <row r="21" spans="1:32" ht="12.75" customHeight="1">
      <c r="A21" s="185" t="str">
        <f>Parametros_Orcam!C42</f>
        <v>BI-L-EM</v>
      </c>
      <c r="B21" s="670"/>
      <c r="C21" s="126" t="str">
        <f>Parametros_Orcam!E42</f>
        <v>F4A</v>
      </c>
      <c r="D21" s="74">
        <v>930.98</v>
      </c>
      <c r="E21" s="74">
        <f>Parametros_Orcam!G42</f>
        <v>2860</v>
      </c>
      <c r="F21" s="74">
        <f>Parametros_Orcam!H42</f>
        <v>666.22720000000015</v>
      </c>
      <c r="G21" s="74">
        <f t="shared" si="9"/>
        <v>3526.2272000000003</v>
      </c>
      <c r="H21" s="172">
        <f>VLOOKUP(IF(LEN($D$1)&lt;2,"PE",$D$1),Custos_Estrutura,COLUMN(Parametros_Orcam!$C$1),0)  *  $G21</f>
        <v>634.72089600000004</v>
      </c>
      <c r="I21" s="74">
        <f>VLOOKUP(IF(LEN($D$1)&lt;2,"PE",$D$1),Custos_Estrutura,COLUMN(Parametros_Orcam!$D$1),0)</f>
        <v>250</v>
      </c>
      <c r="J21" s="459"/>
      <c r="K21" s="164">
        <f t="shared" si="10"/>
        <v>4410.9480960000001</v>
      </c>
      <c r="M21" s="169" t="str">
        <f t="shared" si="0"/>
        <v>F4</v>
      </c>
      <c r="N21" s="74">
        <f t="shared" si="1"/>
        <v>5513.6851200000001</v>
      </c>
      <c r="O21" s="74">
        <f t="shared" si="2"/>
        <v>6500</v>
      </c>
      <c r="P21" s="74">
        <f t="shared" si="3"/>
        <v>7200</v>
      </c>
      <c r="Q21" s="164">
        <f t="shared" si="4"/>
        <v>7800</v>
      </c>
      <c r="S21" s="467">
        <f t="shared" si="11"/>
        <v>0.47360609522801322</v>
      </c>
      <c r="T21" s="468">
        <f t="shared" si="12"/>
        <v>0.63230213625256848</v>
      </c>
      <c r="U21" s="469">
        <f t="shared" si="13"/>
        <v>0.768327314273616</v>
      </c>
      <c r="W21" s="467">
        <f t="shared" si="14"/>
        <v>0.22360609522801322</v>
      </c>
      <c r="X21" s="468">
        <f t="shared" si="6"/>
        <v>0.38230213625256848</v>
      </c>
      <c r="Y21" s="469">
        <f t="shared" si="7"/>
        <v>0.518327314273616</v>
      </c>
      <c r="AA21" s="375">
        <f t="shared" si="15"/>
        <v>1.0276628800322336</v>
      </c>
      <c r="AB21" s="246"/>
      <c r="AC21" s="56"/>
      <c r="AD21" s="393"/>
      <c r="AE21" s="389"/>
      <c r="AF21" s="336"/>
    </row>
    <row r="22" spans="1:32" ht="12.75" customHeight="1">
      <c r="A22" s="185" t="str">
        <f>Parametros_Orcam!C41</f>
        <v>BI-M-CEA</v>
      </c>
      <c r="B22" s="670"/>
      <c r="C22" s="126" t="str">
        <f>Parametros_Orcam!E41</f>
        <v>F4</v>
      </c>
      <c r="D22" s="74">
        <v>1199.6400000000001</v>
      </c>
      <c r="E22" s="74">
        <f>Parametros_Orcam!G41</f>
        <v>3380</v>
      </c>
      <c r="F22" s="74">
        <f>Parametros_Orcam!H41</f>
        <v>1047.7120000000002</v>
      </c>
      <c r="G22" s="74">
        <f t="shared" si="9"/>
        <v>4427.7120000000004</v>
      </c>
      <c r="H22" s="172">
        <f>VLOOKUP(IF(LEN($D$1)&lt;2,"PE",$D$1),Custos_Estrutura,COLUMN(Parametros_Orcam!$C$1),0)  *  $G22</f>
        <v>796.98816000000011</v>
      </c>
      <c r="I22" s="74">
        <f>VLOOKUP(IF(LEN($D$1)&lt;2,"PE",$D$1),Custos_Estrutura,COLUMN(Parametros_Orcam!$D$1),0)</f>
        <v>250</v>
      </c>
      <c r="J22" s="459"/>
      <c r="K22" s="164">
        <f t="shared" si="10"/>
        <v>5474.7001600000003</v>
      </c>
      <c r="M22" s="169" t="str">
        <f t="shared" si="0"/>
        <v>F4</v>
      </c>
      <c r="N22" s="74">
        <f t="shared" si="1"/>
        <v>6843.3752000000004</v>
      </c>
      <c r="O22" s="74">
        <f t="shared" si="2"/>
        <v>6500</v>
      </c>
      <c r="P22" s="74">
        <f t="shared" si="3"/>
        <v>7200</v>
      </c>
      <c r="Q22" s="164">
        <f t="shared" si="4"/>
        <v>7800</v>
      </c>
      <c r="S22" s="467">
        <f t="shared" si="11"/>
        <v>0.18727963359366884</v>
      </c>
      <c r="T22" s="468">
        <f t="shared" si="12"/>
        <v>0.31514051721144853</v>
      </c>
      <c r="U22" s="469">
        <f t="shared" si="13"/>
        <v>0.42473556031240256</v>
      </c>
      <c r="W22" s="467">
        <f t="shared" si="14"/>
        <v>-6.2720366406331163E-2</v>
      </c>
      <c r="X22" s="468">
        <f t="shared" si="6"/>
        <v>6.5140517211448534E-2</v>
      </c>
      <c r="Y22" s="469">
        <f t="shared" si="7"/>
        <v>0.17473556031240256</v>
      </c>
      <c r="AA22" s="375">
        <f t="shared" si="15"/>
        <v>0.61482951013977405</v>
      </c>
      <c r="AB22" s="246"/>
      <c r="AC22" s="56"/>
      <c r="AD22" s="393"/>
      <c r="AE22" s="389"/>
      <c r="AF22" s="336"/>
    </row>
    <row r="23" spans="1:32" ht="12.75" customHeight="1" thickBot="1">
      <c r="A23" s="233" t="str">
        <f>Parametros_Orcam!C43</f>
        <v>BII-E</v>
      </c>
      <c r="B23" s="671"/>
      <c r="C23" s="127" t="str">
        <f>Parametros_Orcam!E43</f>
        <v>F5</v>
      </c>
      <c r="D23" s="121">
        <v>541.12</v>
      </c>
      <c r="E23" s="121">
        <f>Parametros_Orcam!G43</f>
        <v>2010</v>
      </c>
      <c r="F23" s="121">
        <f>Parametros_Orcam!H43</f>
        <v>416.71680000000009</v>
      </c>
      <c r="G23" s="121">
        <f t="shared" si="9"/>
        <v>2426.7168000000001</v>
      </c>
      <c r="H23" s="173">
        <f>VLOOKUP(IF(LEN($D$1)&lt;2,"PE",$D$1),Custos_Estrutura,COLUMN(Parametros_Orcam!$C$1),0)  *  $G23</f>
        <v>436.80902400000002</v>
      </c>
      <c r="I23" s="121">
        <f>VLOOKUP(IF(LEN($D$1)&lt;2,"PE",$D$1),Custos_Estrutura,COLUMN(Parametros_Orcam!$D$1),0)</f>
        <v>250</v>
      </c>
      <c r="J23" s="460"/>
      <c r="K23" s="165">
        <f t="shared" si="10"/>
        <v>3113.5258240000003</v>
      </c>
      <c r="M23" s="170" t="str">
        <f t="shared" si="0"/>
        <v>F5</v>
      </c>
      <c r="N23" s="121">
        <f t="shared" si="1"/>
        <v>3891.9072800000004</v>
      </c>
      <c r="O23" s="121">
        <f t="shared" si="2"/>
        <v>5300</v>
      </c>
      <c r="P23" s="121">
        <f t="shared" si="3"/>
        <v>5800</v>
      </c>
      <c r="Q23" s="165">
        <f t="shared" si="4"/>
        <v>6400</v>
      </c>
      <c r="S23" s="470">
        <f t="shared" si="11"/>
        <v>0.70225021393623721</v>
      </c>
      <c r="T23" s="471">
        <f t="shared" si="12"/>
        <v>0.86283985676041053</v>
      </c>
      <c r="U23" s="472">
        <f t="shared" si="13"/>
        <v>1.0555474281494188</v>
      </c>
      <c r="W23" s="470">
        <f t="shared" si="14"/>
        <v>0.45225021393623721</v>
      </c>
      <c r="X23" s="471">
        <f t="shared" si="6"/>
        <v>0.61283985676041053</v>
      </c>
      <c r="Y23" s="472">
        <f t="shared" si="7"/>
        <v>0.80554742814941882</v>
      </c>
      <c r="AA23" s="375">
        <f t="shared" si="15"/>
        <v>1.4106644829755166</v>
      </c>
      <c r="AB23" s="246"/>
      <c r="AC23" s="2"/>
      <c r="AD23" s="385"/>
      <c r="AE23" s="388"/>
      <c r="AF23" s="395"/>
    </row>
    <row r="26" spans="1:32" ht="14.1">
      <c r="AC26" s="3"/>
      <c r="AD26" s="386"/>
      <c r="AE26" s="390"/>
      <c r="AF26" s="31"/>
    </row>
  </sheetData>
  <sheetProtection algorithmName="SHA-512" hashValue="PPlfJGkBwSIejhFWj2HBoPIMDd2AuTMLH9IiVdkw7AC1fQ1o5IKDQhupEKj4ym9Esp1bH0tQldL6Nfe3sLIHYg==" saltValue="Wy/PKVFXxh+p5k59m2R1Lw==" spinCount="100000" sheet="1" objects="1" scenarios="1"/>
  <mergeCells count="24">
    <mergeCell ref="S1:Y1"/>
    <mergeCell ref="O3:O4"/>
    <mergeCell ref="P3:P4"/>
    <mergeCell ref="Q3:Q4"/>
    <mergeCell ref="W3:Y3"/>
    <mergeCell ref="S3:U3"/>
    <mergeCell ref="M1:Q1"/>
    <mergeCell ref="M3:M4"/>
    <mergeCell ref="N3:N4"/>
    <mergeCell ref="A3:A4"/>
    <mergeCell ref="B3:B4"/>
    <mergeCell ref="C3:C4"/>
    <mergeCell ref="D3:D4"/>
    <mergeCell ref="E3:E4"/>
    <mergeCell ref="D1:E1"/>
    <mergeCell ref="B6:B13"/>
    <mergeCell ref="B14:B18"/>
    <mergeCell ref="B19:B23"/>
    <mergeCell ref="F3:F4"/>
    <mergeCell ref="G3:G4"/>
    <mergeCell ref="H3:H4"/>
    <mergeCell ref="I3:I4"/>
    <mergeCell ref="J3:J4"/>
    <mergeCell ref="K3:K4"/>
  </mergeCells>
  <conditionalFormatting sqref="W6:Y23">
    <cfRule type="colorScale" priority="7">
      <colorScale>
        <cfvo type="num" val="-0.25"/>
        <cfvo type="num" val="0"/>
        <cfvo type="num" val="0.5"/>
        <color rgb="FFF8696B"/>
        <color rgb="FFFFEB84"/>
        <color rgb="FF63BE7B"/>
      </colorScale>
    </cfRule>
  </conditionalFormatting>
  <conditionalFormatting sqref="S6:U23">
    <cfRule type="colorScale" priority="1">
      <colorScale>
        <cfvo type="num" val="0"/>
        <cfvo type="num" val="Margem_Minima"/>
        <cfvo type="num" val="0.5"/>
        <color rgb="FFF8696B"/>
        <color rgb="FFFFEB84"/>
        <color rgb="FF63BE7B"/>
      </colorScale>
    </cfRule>
  </conditionalFormatting>
  <printOptions horizontalCentered="1"/>
  <pageMargins left="0.39370078740157483" right="0.39370078740157483" top="0.51" bottom="0.3" header="0.31496062992125984" footer="0.2"/>
  <pageSetup paperSize="9" scale="65" orientation="landscape" horizontalDpi="1200" verticalDpi="12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41C49C5-5975-4923-A6F3-058462609E1D}">
          <x14:formula1>
            <xm:f>Parametros_Orcam!$A$60:$A$76</xm:f>
          </x14:formula1>
          <xm:sqref>D1:E1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5F0D110D9484444897079E12245A47A" ma:contentTypeVersion="3" ma:contentTypeDescription="Create a new document." ma:contentTypeScope="" ma:versionID="2052ecc2648cfd8aa020feccb4b896c2">
  <xsd:schema xmlns:xsd="http://www.w3.org/2001/XMLSchema" xmlns:xs="http://www.w3.org/2001/XMLSchema" xmlns:p="http://schemas.microsoft.com/office/2006/metadata/properties" xmlns:ns2="b8723643-eb03-4365-8d64-ee9c90482823" targetNamespace="http://schemas.microsoft.com/office/2006/metadata/properties" ma:root="true" ma:fieldsID="39e23661e62b77079c740e3963f12c25" ns2:_="">
    <xsd:import namespace="b8723643-eb03-4365-8d64-ee9c90482823"/>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723643-eb03-4365-8d64-ee9c904828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E9FC07-654A-41C3-8DE2-85B45D0D7D62}"/>
</file>

<file path=customXml/itemProps2.xml><?xml version="1.0" encoding="utf-8"?>
<ds:datastoreItem xmlns:ds="http://schemas.openxmlformats.org/officeDocument/2006/customXml" ds:itemID="{5621F868-5087-4758-B6BE-1ABB562DCA3A}"/>
</file>

<file path=customXml/itemProps3.xml><?xml version="1.0" encoding="utf-8"?>
<ds:datastoreItem xmlns:ds="http://schemas.openxmlformats.org/officeDocument/2006/customXml" ds:itemID="{8704AD07-15D1-46BF-9CCE-91B99D32EC7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mleitao</dc:creator>
  <cp:keywords/>
  <dc:description/>
  <cp:lastModifiedBy>Filipe David Ferreira</cp:lastModifiedBy>
  <cp:revision/>
  <dcterms:created xsi:type="dcterms:W3CDTF">2007-07-24T14:18:54Z</dcterms:created>
  <dcterms:modified xsi:type="dcterms:W3CDTF">2026-06-22T15:44:47Z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0x01010015F0D110D9484444897079E12245A47A</vt:lpwstr>
  </property>
</Properties>
</file>